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20730" windowHeight="11565"/>
  </bookViews>
  <sheets>
    <sheet name="Input" sheetId="3" r:id="rId1"/>
    <sheet name="IAx - XS" sheetId="22" state="veryHidden" r:id="rId2"/>
    <sheet name="IAx - Small" sheetId="21" state="veryHidden" r:id="rId3"/>
    <sheet name="IAx - Medium" sheetId="17" state="veryHidden" r:id="rId4"/>
    <sheet name="IAx - Large" sheetId="19" state="veryHidden" r:id="rId5"/>
    <sheet name="IAx - XL" sheetId="20" state="veryHidden" r:id="rId6"/>
    <sheet name="Data - IAx" sheetId="16" state="veryHidden" r:id="rId7"/>
    <sheet name="Output function - IAx" sheetId="18" state="veryHidden" r:id="rId8"/>
    <sheet name="Data - IA" sheetId="1" state="veryHidden" r:id="rId9"/>
    <sheet name="Data - DA" sheetId="9" state="veryHidden" r:id="rId10"/>
    <sheet name="Output function - IA" sheetId="4" state="veryHidden" r:id="rId11"/>
    <sheet name="Output function - DA" sheetId="15" state="veryHidden" r:id="rId12"/>
    <sheet name="DA - 58" sheetId="14" state="veryHidden" r:id="rId13"/>
    <sheet name="DA - 56" sheetId="10" state="veryHidden" r:id="rId14"/>
    <sheet name="DA - 54" sheetId="11" state="veryHidden" r:id="rId15"/>
    <sheet name="DA - 51" sheetId="12" state="veryHidden" r:id="rId16"/>
    <sheet name="DA - 47" sheetId="13" state="veryHidden" r:id="rId17"/>
    <sheet name="IA - XL" sheetId="8" state="veryHidden" r:id="rId18"/>
    <sheet name="IA - Large" sheetId="2" state="veryHidden" r:id="rId19"/>
    <sheet name="IA - Medium" sheetId="5" state="veryHidden" r:id="rId20"/>
    <sheet name="IA - Small" sheetId="6" state="veryHidden" r:id="rId21"/>
    <sheet name="IA - XS" sheetId="7" state="veryHidden" r:id="rId22"/>
  </sheets>
  <calcPr calcId="145621" refMode="R1C1"/>
</workbook>
</file>

<file path=xl/calcChain.xml><?xml version="1.0" encoding="utf-8"?>
<calcChain xmlns="http://schemas.openxmlformats.org/spreadsheetml/2006/main">
  <c r="L37" i="18" l="1" a="1"/>
  <c r="L37" i="18" s="1"/>
  <c r="M37" i="18" s="1"/>
  <c r="L38" i="18" a="1"/>
  <c r="L38" i="18" s="1"/>
  <c r="M38" i="18" s="1"/>
  <c r="L45" i="18" a="1"/>
  <c r="L45" i="18" s="1"/>
  <c r="M45" i="18" s="1"/>
  <c r="L47" i="18" a="1"/>
  <c r="L47" i="18" s="1"/>
  <c r="M47" i="18" s="1"/>
  <c r="L48" i="18" a="1"/>
  <c r="L48" i="18" s="1"/>
  <c r="M48" i="18" s="1"/>
  <c r="L52" i="18" a="1"/>
  <c r="L52" i="18" s="1"/>
  <c r="M52" i="18" s="1"/>
  <c r="M42" i="18"/>
  <c r="L33" i="18" a="1"/>
  <c r="L33" i="18" s="1"/>
  <c r="M33" i="18" s="1"/>
  <c r="C55" i="5"/>
  <c r="D143" i="18"/>
  <c r="F143" i="18"/>
  <c r="G143" i="18"/>
  <c r="J143" i="18"/>
  <c r="C144" i="18"/>
  <c r="D144" i="18"/>
  <c r="F144" i="18"/>
  <c r="G144" i="18"/>
  <c r="J144" i="18"/>
  <c r="C145" i="18"/>
  <c r="D145" i="18"/>
  <c r="F145" i="18"/>
  <c r="G145" i="18"/>
  <c r="H145" i="18"/>
  <c r="J145" i="18"/>
  <c r="C146" i="18"/>
  <c r="D146" i="18"/>
  <c r="F146" i="18"/>
  <c r="G146" i="18"/>
  <c r="J146" i="18"/>
  <c r="C147" i="18"/>
  <c r="D147" i="18"/>
  <c r="F147" i="18"/>
  <c r="G147" i="18"/>
  <c r="J147" i="18"/>
  <c r="C148" i="18"/>
  <c r="D148" i="18"/>
  <c r="F148" i="18"/>
  <c r="G148" i="18"/>
  <c r="J148" i="18"/>
  <c r="C149" i="18"/>
  <c r="D149" i="18"/>
  <c r="F149" i="18"/>
  <c r="G149" i="18"/>
  <c r="J149" i="18"/>
  <c r="C150" i="18"/>
  <c r="D150" i="18"/>
  <c r="F150" i="18"/>
  <c r="G150" i="18"/>
  <c r="J150" i="18"/>
  <c r="C151" i="18"/>
  <c r="D151" i="18"/>
  <c r="F151" i="18"/>
  <c r="G151" i="18"/>
  <c r="J151" i="18"/>
  <c r="C152" i="18"/>
  <c r="D152" i="18"/>
  <c r="F152" i="18"/>
  <c r="G152" i="18"/>
  <c r="J152" i="18"/>
  <c r="C153" i="18"/>
  <c r="D153" i="18"/>
  <c r="F153" i="18"/>
  <c r="G153" i="18"/>
  <c r="J153" i="18"/>
  <c r="C154" i="18"/>
  <c r="D154" i="18"/>
  <c r="F154" i="18"/>
  <c r="G154" i="18"/>
  <c r="J154" i="18"/>
  <c r="C155" i="18"/>
  <c r="D155" i="18"/>
  <c r="F155" i="18"/>
  <c r="G155" i="18"/>
  <c r="J155" i="18"/>
  <c r="C156" i="18"/>
  <c r="D156" i="18"/>
  <c r="F156" i="18"/>
  <c r="G156" i="18"/>
  <c r="J156" i="18"/>
  <c r="C157" i="18"/>
  <c r="D157" i="18"/>
  <c r="F157" i="18"/>
  <c r="G157" i="18"/>
  <c r="J157" i="18"/>
  <c r="D113" i="18"/>
  <c r="F113" i="18"/>
  <c r="G113" i="18"/>
  <c r="J113" i="18"/>
  <c r="C114" i="18"/>
  <c r="D114" i="18"/>
  <c r="F114" i="18"/>
  <c r="G114" i="18"/>
  <c r="J114" i="18"/>
  <c r="C115" i="18"/>
  <c r="D115" i="18"/>
  <c r="F115" i="18"/>
  <c r="G115" i="18"/>
  <c r="J115" i="18"/>
  <c r="C116" i="18"/>
  <c r="D116" i="18"/>
  <c r="F116" i="18"/>
  <c r="G116" i="18"/>
  <c r="J116" i="18"/>
  <c r="C117" i="18"/>
  <c r="D117" i="18"/>
  <c r="F117" i="18"/>
  <c r="G117" i="18"/>
  <c r="J117" i="18"/>
  <c r="C118" i="18"/>
  <c r="D118" i="18"/>
  <c r="F118" i="18"/>
  <c r="G118" i="18"/>
  <c r="J118" i="18"/>
  <c r="C119" i="18"/>
  <c r="D119" i="18"/>
  <c r="F119" i="18"/>
  <c r="G119" i="18"/>
  <c r="J119" i="18"/>
  <c r="C120" i="18"/>
  <c r="D120" i="18"/>
  <c r="F120" i="18"/>
  <c r="G120" i="18"/>
  <c r="J120" i="18"/>
  <c r="C121" i="18"/>
  <c r="D121" i="18"/>
  <c r="F121" i="18"/>
  <c r="G121" i="18"/>
  <c r="J121" i="18"/>
  <c r="C122" i="18"/>
  <c r="D122" i="18"/>
  <c r="F122" i="18"/>
  <c r="G122" i="18"/>
  <c r="J122" i="18"/>
  <c r="C123" i="18"/>
  <c r="D123" i="18"/>
  <c r="F123" i="18"/>
  <c r="G123" i="18"/>
  <c r="J123" i="18"/>
  <c r="C124" i="18"/>
  <c r="D124" i="18"/>
  <c r="F124" i="18"/>
  <c r="G124" i="18"/>
  <c r="J124" i="18"/>
  <c r="C125" i="18"/>
  <c r="D125" i="18"/>
  <c r="F125" i="18"/>
  <c r="G125" i="18"/>
  <c r="J125" i="18"/>
  <c r="C126" i="18"/>
  <c r="D126" i="18"/>
  <c r="F126" i="18"/>
  <c r="G126" i="18"/>
  <c r="J126" i="18"/>
  <c r="C127" i="18"/>
  <c r="D127" i="18"/>
  <c r="F127" i="18"/>
  <c r="G127" i="18"/>
  <c r="J127" i="18"/>
  <c r="D83" i="18"/>
  <c r="F83" i="18"/>
  <c r="G83" i="18"/>
  <c r="J83" i="18"/>
  <c r="C84" i="18"/>
  <c r="D84" i="18"/>
  <c r="F84" i="18"/>
  <c r="G84" i="18"/>
  <c r="J84" i="18"/>
  <c r="C85" i="18"/>
  <c r="D85" i="18"/>
  <c r="F85" i="18"/>
  <c r="G85" i="18"/>
  <c r="J85" i="18"/>
  <c r="C86" i="18"/>
  <c r="D86" i="18"/>
  <c r="F86" i="18"/>
  <c r="G86" i="18"/>
  <c r="J86" i="18"/>
  <c r="C87" i="18"/>
  <c r="D87" i="18"/>
  <c r="F87" i="18"/>
  <c r="G87" i="18"/>
  <c r="J87" i="18"/>
  <c r="C88" i="18"/>
  <c r="D88" i="18"/>
  <c r="F88" i="18"/>
  <c r="G88" i="18"/>
  <c r="J88" i="18"/>
  <c r="C89" i="18"/>
  <c r="D89" i="18"/>
  <c r="F89" i="18"/>
  <c r="G89" i="18"/>
  <c r="J89" i="18"/>
  <c r="C90" i="18"/>
  <c r="D90" i="18"/>
  <c r="F90" i="18"/>
  <c r="G90" i="18"/>
  <c r="J90" i="18"/>
  <c r="C91" i="18"/>
  <c r="D91" i="18"/>
  <c r="F91" i="18"/>
  <c r="G91" i="18"/>
  <c r="J91" i="18"/>
  <c r="C92" i="18"/>
  <c r="D92" i="18"/>
  <c r="F92" i="18"/>
  <c r="G92" i="18"/>
  <c r="J92" i="18"/>
  <c r="C93" i="18"/>
  <c r="D93" i="18"/>
  <c r="F93" i="18"/>
  <c r="G93" i="18"/>
  <c r="J93" i="18"/>
  <c r="C94" i="18"/>
  <c r="D94" i="18"/>
  <c r="F94" i="18"/>
  <c r="G94" i="18"/>
  <c r="J94" i="18"/>
  <c r="C95" i="18"/>
  <c r="D95" i="18"/>
  <c r="F95" i="18"/>
  <c r="G95" i="18"/>
  <c r="J95" i="18"/>
  <c r="C96" i="18"/>
  <c r="D96" i="18"/>
  <c r="F96" i="18"/>
  <c r="G96" i="18"/>
  <c r="J96" i="18"/>
  <c r="C97" i="18"/>
  <c r="D97" i="18"/>
  <c r="F97" i="18"/>
  <c r="G97" i="18"/>
  <c r="J97" i="18"/>
  <c r="D53" i="18"/>
  <c r="F53" i="18"/>
  <c r="G53" i="18"/>
  <c r="J53" i="18"/>
  <c r="C54" i="18"/>
  <c r="D54" i="18"/>
  <c r="F54" i="18"/>
  <c r="G54" i="18"/>
  <c r="J54" i="18"/>
  <c r="C55" i="18"/>
  <c r="D55" i="18"/>
  <c r="F55" i="18"/>
  <c r="G55" i="18"/>
  <c r="J55" i="18"/>
  <c r="C56" i="18"/>
  <c r="D56" i="18"/>
  <c r="F56" i="18"/>
  <c r="G56" i="18"/>
  <c r="J56" i="18"/>
  <c r="C57" i="18"/>
  <c r="D57" i="18"/>
  <c r="F57" i="18"/>
  <c r="G57" i="18"/>
  <c r="J57" i="18"/>
  <c r="C58" i="18"/>
  <c r="D58" i="18"/>
  <c r="F58" i="18"/>
  <c r="G58" i="18"/>
  <c r="J58" i="18"/>
  <c r="C59" i="18"/>
  <c r="D59" i="18"/>
  <c r="F59" i="18"/>
  <c r="G59" i="18"/>
  <c r="J59" i="18"/>
  <c r="C60" i="18"/>
  <c r="D60" i="18"/>
  <c r="F60" i="18"/>
  <c r="G60" i="18"/>
  <c r="J60" i="18"/>
  <c r="C61" i="18"/>
  <c r="D61" i="18"/>
  <c r="F61" i="18"/>
  <c r="G61" i="18"/>
  <c r="J61" i="18"/>
  <c r="C62" i="18"/>
  <c r="D62" i="18"/>
  <c r="F62" i="18"/>
  <c r="G62" i="18"/>
  <c r="J62" i="18"/>
  <c r="C63" i="18"/>
  <c r="D63" i="18"/>
  <c r="F63" i="18"/>
  <c r="G63" i="18"/>
  <c r="J63" i="18"/>
  <c r="C64" i="18"/>
  <c r="D64" i="18"/>
  <c r="F64" i="18"/>
  <c r="G64" i="18"/>
  <c r="J64" i="18"/>
  <c r="C65" i="18"/>
  <c r="D65" i="18"/>
  <c r="F65" i="18"/>
  <c r="G65" i="18"/>
  <c r="J65" i="18"/>
  <c r="C66" i="18"/>
  <c r="D66" i="18"/>
  <c r="F66" i="18"/>
  <c r="G66" i="18"/>
  <c r="J66" i="18"/>
  <c r="C67" i="18"/>
  <c r="D67" i="18"/>
  <c r="F67" i="18"/>
  <c r="G67" i="18"/>
  <c r="J67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H36" i="18"/>
  <c r="G32" i="18"/>
  <c r="F23" i="18"/>
  <c r="G23" i="18"/>
  <c r="F24" i="18"/>
  <c r="G24" i="18"/>
  <c r="F25" i="18"/>
  <c r="G25" i="18"/>
  <c r="F26" i="18"/>
  <c r="G26" i="18"/>
  <c r="F27" i="18"/>
  <c r="G27" i="18"/>
  <c r="F28" i="18"/>
  <c r="G28" i="18"/>
  <c r="F29" i="18"/>
  <c r="G29" i="18"/>
  <c r="F30" i="18"/>
  <c r="G30" i="18"/>
  <c r="F31" i="18"/>
  <c r="G31" i="18"/>
  <c r="F32" i="18"/>
  <c r="F33" i="18"/>
  <c r="G33" i="18"/>
  <c r="F34" i="18"/>
  <c r="G34" i="18"/>
  <c r="F35" i="18"/>
  <c r="G35" i="18"/>
  <c r="F36" i="18"/>
  <c r="G36" i="18"/>
  <c r="F37" i="18"/>
  <c r="G37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B24" i="22"/>
  <c r="D24" i="22"/>
  <c r="C143" i="18" s="1"/>
  <c r="E24" i="22"/>
  <c r="G24" i="22" s="1"/>
  <c r="F24" i="22"/>
  <c r="B25" i="22"/>
  <c r="C25" i="22"/>
  <c r="D25" i="22" s="1"/>
  <c r="E25" i="22"/>
  <c r="F25" i="22"/>
  <c r="G25" i="22"/>
  <c r="B26" i="22"/>
  <c r="C26" i="22"/>
  <c r="D26" i="22"/>
  <c r="E26" i="22"/>
  <c r="G26" i="22" s="1"/>
  <c r="F26" i="22"/>
  <c r="B27" i="22"/>
  <c r="C27" i="22"/>
  <c r="D27" i="22"/>
  <c r="E27" i="22"/>
  <c r="F27" i="22"/>
  <c r="G27" i="22"/>
  <c r="B28" i="22"/>
  <c r="C28" i="22"/>
  <c r="D28" i="22"/>
  <c r="E28" i="22"/>
  <c r="G28" i="22" s="1"/>
  <c r="F28" i="22"/>
  <c r="B29" i="22"/>
  <c r="C29" i="22"/>
  <c r="D29" i="22" s="1"/>
  <c r="E29" i="22"/>
  <c r="F29" i="22"/>
  <c r="G29" i="22"/>
  <c r="B30" i="22"/>
  <c r="C30" i="22"/>
  <c r="D30" i="22"/>
  <c r="E30" i="22"/>
  <c r="G30" i="22" s="1"/>
  <c r="F30" i="22"/>
  <c r="B31" i="22"/>
  <c r="C31" i="22"/>
  <c r="D31" i="22"/>
  <c r="E31" i="22"/>
  <c r="F31" i="22"/>
  <c r="G31" i="22"/>
  <c r="B32" i="22"/>
  <c r="C32" i="22"/>
  <c r="D32" i="22"/>
  <c r="E32" i="22"/>
  <c r="G32" i="22" s="1"/>
  <c r="F32" i="22"/>
  <c r="B33" i="22"/>
  <c r="C33" i="22"/>
  <c r="D33" i="22" s="1"/>
  <c r="E33" i="22"/>
  <c r="F33" i="22"/>
  <c r="G33" i="22"/>
  <c r="B34" i="22"/>
  <c r="C34" i="22"/>
  <c r="D34" i="22"/>
  <c r="E34" i="22"/>
  <c r="G34" i="22" s="1"/>
  <c r="F34" i="22"/>
  <c r="B35" i="22"/>
  <c r="C35" i="22"/>
  <c r="D35" i="22"/>
  <c r="E35" i="22"/>
  <c r="F35" i="22"/>
  <c r="G35" i="22"/>
  <c r="B36" i="22"/>
  <c r="C36" i="22"/>
  <c r="D36" i="22"/>
  <c r="E36" i="22"/>
  <c r="G36" i="22" s="1"/>
  <c r="F36" i="22"/>
  <c r="B37" i="22"/>
  <c r="C37" i="22"/>
  <c r="D37" i="22" s="1"/>
  <c r="E37" i="22"/>
  <c r="F37" i="22"/>
  <c r="G37" i="22"/>
  <c r="B38" i="22"/>
  <c r="C38" i="22"/>
  <c r="D38" i="22"/>
  <c r="E38" i="22"/>
  <c r="G38" i="22" s="1"/>
  <c r="F38" i="22"/>
  <c r="E10" i="22"/>
  <c r="F10" i="22"/>
  <c r="E11" i="22"/>
  <c r="F11" i="22"/>
  <c r="G11" i="22" s="1"/>
  <c r="J130" i="18" s="1"/>
  <c r="E12" i="22"/>
  <c r="F12" i="22"/>
  <c r="E13" i="22"/>
  <c r="F13" i="22"/>
  <c r="E14" i="22"/>
  <c r="F14" i="22"/>
  <c r="E15" i="22"/>
  <c r="F15" i="22"/>
  <c r="G15" i="22" s="1"/>
  <c r="J134" i="18" s="1"/>
  <c r="E16" i="22"/>
  <c r="F16" i="22"/>
  <c r="E17" i="22"/>
  <c r="F17" i="22"/>
  <c r="E18" i="22"/>
  <c r="F18" i="22"/>
  <c r="E19" i="22"/>
  <c r="F19" i="22"/>
  <c r="G19" i="22" s="1"/>
  <c r="J138" i="18" s="1"/>
  <c r="E20" i="22"/>
  <c r="F20" i="22"/>
  <c r="E21" i="22"/>
  <c r="F21" i="22"/>
  <c r="E22" i="22"/>
  <c r="F22" i="22"/>
  <c r="E23" i="22"/>
  <c r="F23" i="22"/>
  <c r="G23" i="22" s="1"/>
  <c r="J142" i="18" s="1"/>
  <c r="F9" i="22"/>
  <c r="E9" i="22"/>
  <c r="B24" i="21"/>
  <c r="D24" i="21"/>
  <c r="C113" i="18" s="1"/>
  <c r="E24" i="21"/>
  <c r="G24" i="21" s="1"/>
  <c r="F24" i="21"/>
  <c r="B25" i="21"/>
  <c r="C25" i="21"/>
  <c r="D25" i="21" s="1"/>
  <c r="E25" i="21"/>
  <c r="G25" i="21" s="1"/>
  <c r="F25" i="21"/>
  <c r="B26" i="21"/>
  <c r="C26" i="21"/>
  <c r="D26" i="21"/>
  <c r="E26" i="21"/>
  <c r="G26" i="21" s="1"/>
  <c r="F26" i="21"/>
  <c r="B27" i="21"/>
  <c r="C27" i="21"/>
  <c r="D27" i="21" s="1"/>
  <c r="E27" i="21"/>
  <c r="F27" i="21"/>
  <c r="G27" i="21"/>
  <c r="B28" i="21"/>
  <c r="C28" i="21"/>
  <c r="D28" i="21" s="1"/>
  <c r="E28" i="21"/>
  <c r="G28" i="21" s="1"/>
  <c r="F28" i="21"/>
  <c r="B29" i="21"/>
  <c r="C29" i="21"/>
  <c r="D29" i="21" s="1"/>
  <c r="E29" i="21"/>
  <c r="G29" i="21" s="1"/>
  <c r="F29" i="21"/>
  <c r="B30" i="21"/>
  <c r="C30" i="21"/>
  <c r="D30" i="21"/>
  <c r="E30" i="21"/>
  <c r="G30" i="21" s="1"/>
  <c r="F30" i="21"/>
  <c r="B31" i="21"/>
  <c r="C31" i="21"/>
  <c r="D31" i="21" s="1"/>
  <c r="E31" i="21"/>
  <c r="F31" i="21"/>
  <c r="G31" i="21"/>
  <c r="B32" i="21"/>
  <c r="C32" i="21"/>
  <c r="D32" i="21" s="1"/>
  <c r="E32" i="21"/>
  <c r="G32" i="21" s="1"/>
  <c r="F32" i="21"/>
  <c r="B33" i="21"/>
  <c r="C33" i="21"/>
  <c r="D33" i="21" s="1"/>
  <c r="E33" i="21"/>
  <c r="G33" i="21" s="1"/>
  <c r="F33" i="21"/>
  <c r="B34" i="21"/>
  <c r="C34" i="21"/>
  <c r="D34" i="21"/>
  <c r="E34" i="21"/>
  <c r="G34" i="21" s="1"/>
  <c r="F34" i="21"/>
  <c r="B35" i="21"/>
  <c r="C35" i="21"/>
  <c r="D35" i="21" s="1"/>
  <c r="E35" i="21"/>
  <c r="F35" i="21"/>
  <c r="G35" i="21"/>
  <c r="B36" i="21"/>
  <c r="C36" i="21"/>
  <c r="D36" i="21" s="1"/>
  <c r="E36" i="21"/>
  <c r="G36" i="21" s="1"/>
  <c r="F36" i="21"/>
  <c r="B37" i="21"/>
  <c r="C37" i="21"/>
  <c r="D37" i="21" s="1"/>
  <c r="E37" i="21"/>
  <c r="G37" i="21" s="1"/>
  <c r="F37" i="21"/>
  <c r="B38" i="21"/>
  <c r="C38" i="21"/>
  <c r="D38" i="21"/>
  <c r="E38" i="21"/>
  <c r="G38" i="21" s="1"/>
  <c r="F38" i="21"/>
  <c r="E10" i="21"/>
  <c r="F10" i="21"/>
  <c r="E11" i="21"/>
  <c r="G11" i="21" s="1"/>
  <c r="J100" i="18" s="1"/>
  <c r="F11" i="21"/>
  <c r="E12" i="21"/>
  <c r="G12" i="21" s="1"/>
  <c r="J101" i="18" s="1"/>
  <c r="F12" i="21"/>
  <c r="E13" i="21"/>
  <c r="F13" i="21"/>
  <c r="E14" i="21"/>
  <c r="F14" i="21"/>
  <c r="E15" i="21"/>
  <c r="G15" i="21" s="1"/>
  <c r="J104" i="18" s="1"/>
  <c r="F15" i="21"/>
  <c r="E16" i="21"/>
  <c r="G16" i="21" s="1"/>
  <c r="J105" i="18" s="1"/>
  <c r="F16" i="21"/>
  <c r="E17" i="21"/>
  <c r="F17" i="21"/>
  <c r="E18" i="21"/>
  <c r="F18" i="21"/>
  <c r="E19" i="21"/>
  <c r="G19" i="21" s="1"/>
  <c r="J108" i="18" s="1"/>
  <c r="F19" i="21"/>
  <c r="E20" i="21"/>
  <c r="G20" i="21" s="1"/>
  <c r="J109" i="18" s="1"/>
  <c r="F20" i="21"/>
  <c r="E21" i="21"/>
  <c r="F21" i="21"/>
  <c r="E22" i="21"/>
  <c r="F22" i="21"/>
  <c r="E23" i="21"/>
  <c r="G23" i="21" s="1"/>
  <c r="J112" i="18" s="1"/>
  <c r="F23" i="21"/>
  <c r="F9" i="21"/>
  <c r="E9" i="21"/>
  <c r="B24" i="17"/>
  <c r="D24" i="17"/>
  <c r="C83" i="18" s="1"/>
  <c r="E24" i="17"/>
  <c r="G24" i="17" s="1"/>
  <c r="F24" i="17"/>
  <c r="B25" i="17"/>
  <c r="C25" i="17"/>
  <c r="D25" i="17" s="1"/>
  <c r="E25" i="17"/>
  <c r="F25" i="17"/>
  <c r="G25" i="17"/>
  <c r="B26" i="17"/>
  <c r="C26" i="17"/>
  <c r="D26" i="17"/>
  <c r="E26" i="17"/>
  <c r="G26" i="17" s="1"/>
  <c r="F26" i="17"/>
  <c r="B27" i="17"/>
  <c r="C27" i="17"/>
  <c r="D27" i="17" s="1"/>
  <c r="E27" i="17"/>
  <c r="F27" i="17"/>
  <c r="G27" i="17"/>
  <c r="B28" i="17"/>
  <c r="C28" i="17"/>
  <c r="D28" i="17"/>
  <c r="E28" i="17"/>
  <c r="G28" i="17" s="1"/>
  <c r="F28" i="17"/>
  <c r="B29" i="17"/>
  <c r="C29" i="17"/>
  <c r="D29" i="17" s="1"/>
  <c r="E29" i="17"/>
  <c r="F29" i="17"/>
  <c r="G29" i="17"/>
  <c r="B30" i="17"/>
  <c r="C30" i="17"/>
  <c r="D30" i="17"/>
  <c r="E30" i="17"/>
  <c r="G30" i="17" s="1"/>
  <c r="F30" i="17"/>
  <c r="B31" i="17"/>
  <c r="C31" i="17"/>
  <c r="D31" i="17" s="1"/>
  <c r="E31" i="17"/>
  <c r="F31" i="17"/>
  <c r="G31" i="17"/>
  <c r="B32" i="17"/>
  <c r="C32" i="17"/>
  <c r="D32" i="17"/>
  <c r="E32" i="17"/>
  <c r="G32" i="17" s="1"/>
  <c r="F32" i="17"/>
  <c r="B33" i="17"/>
  <c r="C33" i="17"/>
  <c r="D33" i="17" s="1"/>
  <c r="E33" i="17"/>
  <c r="F33" i="17"/>
  <c r="G33" i="17"/>
  <c r="B34" i="17"/>
  <c r="C34" i="17"/>
  <c r="D34" i="17"/>
  <c r="E34" i="17"/>
  <c r="G34" i="17" s="1"/>
  <c r="F34" i="17"/>
  <c r="B35" i="17"/>
  <c r="C35" i="17"/>
  <c r="D35" i="17" s="1"/>
  <c r="E35" i="17"/>
  <c r="F35" i="17"/>
  <c r="G35" i="17"/>
  <c r="B36" i="17"/>
  <c r="C36" i="17"/>
  <c r="D36" i="17"/>
  <c r="E36" i="17"/>
  <c r="G36" i="17" s="1"/>
  <c r="F36" i="17"/>
  <c r="B37" i="17"/>
  <c r="C37" i="17"/>
  <c r="D37" i="17" s="1"/>
  <c r="E37" i="17"/>
  <c r="F37" i="17"/>
  <c r="G37" i="17"/>
  <c r="B38" i="17"/>
  <c r="C38" i="17"/>
  <c r="D38" i="17"/>
  <c r="E38" i="17"/>
  <c r="G38" i="17" s="1"/>
  <c r="F38" i="17"/>
  <c r="E10" i="17"/>
  <c r="F10" i="17"/>
  <c r="E11" i="17"/>
  <c r="F11" i="17"/>
  <c r="G11" i="17" s="1"/>
  <c r="J70" i="18" s="1"/>
  <c r="E12" i="17"/>
  <c r="F12" i="17"/>
  <c r="E13" i="17"/>
  <c r="F13" i="17"/>
  <c r="G13" i="17" s="1"/>
  <c r="J72" i="18" s="1"/>
  <c r="E14" i="17"/>
  <c r="F14" i="17"/>
  <c r="E15" i="17"/>
  <c r="F15" i="17"/>
  <c r="E16" i="17"/>
  <c r="G16" i="17" s="1"/>
  <c r="J75" i="18" s="1"/>
  <c r="F16" i="17"/>
  <c r="E17" i="17"/>
  <c r="G17" i="17" s="1"/>
  <c r="J76" i="18" s="1"/>
  <c r="F17" i="17"/>
  <c r="E18" i="17"/>
  <c r="F18" i="17"/>
  <c r="E19" i="17"/>
  <c r="F19" i="17"/>
  <c r="G19" i="17" s="1"/>
  <c r="J78" i="18" s="1"/>
  <c r="E20" i="17"/>
  <c r="F20" i="17"/>
  <c r="E21" i="17"/>
  <c r="F21" i="17"/>
  <c r="G21" i="17" s="1"/>
  <c r="J80" i="18" s="1"/>
  <c r="E22" i="17"/>
  <c r="F22" i="17"/>
  <c r="E23" i="17"/>
  <c r="F23" i="17"/>
  <c r="F9" i="17"/>
  <c r="E9" i="17"/>
  <c r="B24" i="19"/>
  <c r="D24" i="19"/>
  <c r="C53" i="18" s="1"/>
  <c r="E24" i="19"/>
  <c r="G24" i="19" s="1"/>
  <c r="F24" i="19"/>
  <c r="B25" i="19"/>
  <c r="C25" i="19"/>
  <c r="D25" i="19" s="1"/>
  <c r="E25" i="19"/>
  <c r="G25" i="19" s="1"/>
  <c r="F25" i="19"/>
  <c r="B26" i="19"/>
  <c r="C26" i="19"/>
  <c r="D26" i="19"/>
  <c r="E26" i="19"/>
  <c r="G26" i="19" s="1"/>
  <c r="F26" i="19"/>
  <c r="B27" i="19"/>
  <c r="C27" i="19"/>
  <c r="D27" i="19" s="1"/>
  <c r="E27" i="19"/>
  <c r="F27" i="19"/>
  <c r="G27" i="19"/>
  <c r="B28" i="19"/>
  <c r="C28" i="19"/>
  <c r="D28" i="19" s="1"/>
  <c r="E28" i="19"/>
  <c r="G28" i="19" s="1"/>
  <c r="F28" i="19"/>
  <c r="B29" i="19"/>
  <c r="C29" i="19"/>
  <c r="D29" i="19" s="1"/>
  <c r="E29" i="19"/>
  <c r="G29" i="19" s="1"/>
  <c r="F29" i="19"/>
  <c r="B30" i="19"/>
  <c r="C30" i="19"/>
  <c r="D30" i="19"/>
  <c r="E30" i="19"/>
  <c r="G30" i="19" s="1"/>
  <c r="F30" i="19"/>
  <c r="B31" i="19"/>
  <c r="C31" i="19"/>
  <c r="D31" i="19" s="1"/>
  <c r="E31" i="19"/>
  <c r="F31" i="19"/>
  <c r="G31" i="19"/>
  <c r="B32" i="19"/>
  <c r="C32" i="19"/>
  <c r="D32" i="19" s="1"/>
  <c r="E32" i="19"/>
  <c r="G32" i="19" s="1"/>
  <c r="F32" i="19"/>
  <c r="B33" i="19"/>
  <c r="C33" i="19"/>
  <c r="D33" i="19" s="1"/>
  <c r="E33" i="19"/>
  <c r="G33" i="19" s="1"/>
  <c r="F33" i="19"/>
  <c r="B34" i="19"/>
  <c r="C34" i="19"/>
  <c r="D34" i="19"/>
  <c r="E34" i="19"/>
  <c r="G34" i="19" s="1"/>
  <c r="F34" i="19"/>
  <c r="B35" i="19"/>
  <c r="C35" i="19"/>
  <c r="D35" i="19" s="1"/>
  <c r="E35" i="19"/>
  <c r="F35" i="19"/>
  <c r="G35" i="19"/>
  <c r="B36" i="19"/>
  <c r="C36" i="19"/>
  <c r="D36" i="19" s="1"/>
  <c r="E36" i="19"/>
  <c r="G36" i="19" s="1"/>
  <c r="F36" i="19"/>
  <c r="B37" i="19"/>
  <c r="C37" i="19"/>
  <c r="D37" i="19" s="1"/>
  <c r="E37" i="19"/>
  <c r="G37" i="19" s="1"/>
  <c r="F37" i="19"/>
  <c r="B38" i="19"/>
  <c r="C38" i="19"/>
  <c r="D38" i="19"/>
  <c r="E38" i="19"/>
  <c r="G38" i="19" s="1"/>
  <c r="F38" i="19"/>
  <c r="E10" i="19"/>
  <c r="F10" i="19"/>
  <c r="G10" i="19" s="1"/>
  <c r="J39" i="18" s="1"/>
  <c r="E11" i="19"/>
  <c r="F11" i="19"/>
  <c r="E12" i="19"/>
  <c r="F12" i="19"/>
  <c r="G12" i="19" s="1"/>
  <c r="J41" i="18" s="1"/>
  <c r="E13" i="19"/>
  <c r="G13" i="19" s="1"/>
  <c r="J42" i="18" s="1"/>
  <c r="F13" i="19"/>
  <c r="E14" i="19"/>
  <c r="F14" i="19"/>
  <c r="G14" i="19" s="1"/>
  <c r="J43" i="18" s="1"/>
  <c r="E15" i="19"/>
  <c r="F15" i="19"/>
  <c r="E16" i="19"/>
  <c r="F16" i="19"/>
  <c r="G16" i="19" s="1"/>
  <c r="J45" i="18" s="1"/>
  <c r="E17" i="19"/>
  <c r="G17" i="19" s="1"/>
  <c r="J46" i="18" s="1"/>
  <c r="F17" i="19"/>
  <c r="E18" i="19"/>
  <c r="F18" i="19"/>
  <c r="G18" i="19" s="1"/>
  <c r="J47" i="18" s="1"/>
  <c r="E19" i="19"/>
  <c r="F19" i="19"/>
  <c r="E20" i="19"/>
  <c r="F20" i="19"/>
  <c r="G20" i="19" s="1"/>
  <c r="J49" i="18" s="1"/>
  <c r="E21" i="19"/>
  <c r="G21" i="19" s="1"/>
  <c r="J50" i="18" s="1"/>
  <c r="F21" i="19"/>
  <c r="E22" i="19"/>
  <c r="F22" i="19"/>
  <c r="G22" i="19" s="1"/>
  <c r="J51" i="18" s="1"/>
  <c r="E23" i="19"/>
  <c r="F23" i="19"/>
  <c r="F9" i="19"/>
  <c r="E9" i="19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D24" i="20"/>
  <c r="C23" i="18" s="1"/>
  <c r="C25" i="20"/>
  <c r="D25" i="20"/>
  <c r="C26" i="20"/>
  <c r="D26" i="20" s="1"/>
  <c r="C27" i="20"/>
  <c r="D27" i="20"/>
  <c r="C28" i="20"/>
  <c r="D28" i="20"/>
  <c r="C29" i="20"/>
  <c r="D29" i="20"/>
  <c r="C30" i="20"/>
  <c r="D30" i="20" s="1"/>
  <c r="C31" i="20"/>
  <c r="D31" i="20"/>
  <c r="C32" i="20"/>
  <c r="D32" i="20"/>
  <c r="C33" i="20"/>
  <c r="D33" i="20"/>
  <c r="C34" i="20"/>
  <c r="D34" i="20" s="1"/>
  <c r="C35" i="20"/>
  <c r="D35" i="20"/>
  <c r="C36" i="20"/>
  <c r="D36" i="20"/>
  <c r="C37" i="20"/>
  <c r="D37" i="20"/>
  <c r="C38" i="20"/>
  <c r="D38" i="20" s="1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E10" i="20"/>
  <c r="E11" i="20"/>
  <c r="E12" i="20"/>
  <c r="G12" i="20" s="1"/>
  <c r="J11" i="18" s="1"/>
  <c r="E13" i="20"/>
  <c r="E14" i="20"/>
  <c r="E15" i="20"/>
  <c r="G15" i="20" s="1"/>
  <c r="J14" i="18" s="1"/>
  <c r="E16" i="20"/>
  <c r="E17" i="20"/>
  <c r="E18" i="20"/>
  <c r="E19" i="20"/>
  <c r="E20" i="20"/>
  <c r="G20" i="20" s="1"/>
  <c r="J19" i="18" s="1"/>
  <c r="E21" i="20"/>
  <c r="E22" i="20"/>
  <c r="E23" i="20"/>
  <c r="E9" i="20"/>
  <c r="G23" i="20"/>
  <c r="J22" i="18" s="1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D40" i="16"/>
  <c r="D26" i="16"/>
  <c r="D33" i="16"/>
  <c r="D11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26" i="16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12" i="16"/>
  <c r="J131" i="18"/>
  <c r="J135" i="18"/>
  <c r="J139" i="18"/>
  <c r="J128" i="18"/>
  <c r="J99" i="18"/>
  <c r="J103" i="18"/>
  <c r="J107" i="18"/>
  <c r="J111" i="18"/>
  <c r="J98" i="18"/>
  <c r="J74" i="18"/>
  <c r="J82" i="18"/>
  <c r="J68" i="18"/>
  <c r="U13" i="18"/>
  <c r="U14" i="18"/>
  <c r="U15" i="18"/>
  <c r="U16" i="18"/>
  <c r="U12" i="18"/>
  <c r="V6" i="18"/>
  <c r="V7" i="18"/>
  <c r="V8" i="18"/>
  <c r="V9" i="18"/>
  <c r="V5" i="18"/>
  <c r="U7" i="18"/>
  <c r="U8" i="18"/>
  <c r="U9" i="18"/>
  <c r="U6" i="18"/>
  <c r="U5" i="18"/>
  <c r="D129" i="18"/>
  <c r="D130" i="18"/>
  <c r="D131" i="18"/>
  <c r="F131" i="18" s="1"/>
  <c r="D132" i="18"/>
  <c r="D133" i="18"/>
  <c r="D134" i="18"/>
  <c r="D135" i="18"/>
  <c r="D136" i="18"/>
  <c r="D137" i="18"/>
  <c r="D138" i="18"/>
  <c r="D139" i="18"/>
  <c r="D140" i="18"/>
  <c r="D141" i="18"/>
  <c r="D142" i="18"/>
  <c r="D128" i="18"/>
  <c r="D99" i="18"/>
  <c r="D100" i="18"/>
  <c r="G100" i="18" s="1"/>
  <c r="D101" i="18"/>
  <c r="D102" i="18"/>
  <c r="F102" i="18" s="1"/>
  <c r="D103" i="18"/>
  <c r="G103" i="18" s="1"/>
  <c r="D104" i="18"/>
  <c r="D105" i="18"/>
  <c r="D106" i="18"/>
  <c r="D107" i="18"/>
  <c r="D108" i="18"/>
  <c r="D109" i="18"/>
  <c r="F109" i="18" s="1"/>
  <c r="D110" i="18"/>
  <c r="G110" i="18" s="1"/>
  <c r="D111" i="18"/>
  <c r="D112" i="18"/>
  <c r="D98" i="18"/>
  <c r="D69" i="18"/>
  <c r="D70" i="18"/>
  <c r="D71" i="18"/>
  <c r="D72" i="18"/>
  <c r="D73" i="18"/>
  <c r="D74" i="18"/>
  <c r="D75" i="18"/>
  <c r="D76" i="18"/>
  <c r="G76" i="18" s="1"/>
  <c r="D77" i="18"/>
  <c r="D78" i="18"/>
  <c r="G78" i="18" s="1"/>
  <c r="D79" i="18"/>
  <c r="D80" i="18"/>
  <c r="F80" i="18" s="1"/>
  <c r="D81" i="18"/>
  <c r="D82" i="18"/>
  <c r="D68" i="18"/>
  <c r="D39" i="18"/>
  <c r="D40" i="18"/>
  <c r="G40" i="18" s="1"/>
  <c r="D41" i="18"/>
  <c r="F41" i="18" s="1"/>
  <c r="D42" i="18"/>
  <c r="G42" i="18" s="1"/>
  <c r="D43" i="18"/>
  <c r="D44" i="18"/>
  <c r="D45" i="18"/>
  <c r="D46" i="18"/>
  <c r="G46" i="18" s="1"/>
  <c r="D47" i="18"/>
  <c r="D48" i="18"/>
  <c r="D49" i="18"/>
  <c r="D50" i="18"/>
  <c r="F50" i="18" s="1"/>
  <c r="D51" i="18"/>
  <c r="D52" i="18"/>
  <c r="D38" i="18"/>
  <c r="D11" i="18"/>
  <c r="D12" i="18"/>
  <c r="G12" i="18" s="1"/>
  <c r="D18" i="18"/>
  <c r="D20" i="18"/>
  <c r="G20" i="18" s="1"/>
  <c r="D22" i="18"/>
  <c r="D9" i="5"/>
  <c r="D4" i="22"/>
  <c r="C4" i="22"/>
  <c r="B23" i="22"/>
  <c r="G22" i="22"/>
  <c r="J141" i="18" s="1"/>
  <c r="B22" i="22"/>
  <c r="G21" i="22"/>
  <c r="J140" i="18" s="1"/>
  <c r="B21" i="22"/>
  <c r="G20" i="22"/>
  <c r="B20" i="22"/>
  <c r="B19" i="22"/>
  <c r="G18" i="22"/>
  <c r="J137" i="18" s="1"/>
  <c r="B18" i="22"/>
  <c r="G17" i="22"/>
  <c r="J136" i="18" s="1"/>
  <c r="B17" i="22"/>
  <c r="G16" i="22"/>
  <c r="B16" i="22"/>
  <c r="B15" i="22"/>
  <c r="G14" i="22"/>
  <c r="J133" i="18" s="1"/>
  <c r="B14" i="22"/>
  <c r="G13" i="22"/>
  <c r="J132" i="18" s="1"/>
  <c r="B13" i="22"/>
  <c r="G12" i="22"/>
  <c r="B12" i="22"/>
  <c r="B11" i="22"/>
  <c r="G10" i="22"/>
  <c r="J129" i="18" s="1"/>
  <c r="B10" i="22"/>
  <c r="G9" i="22"/>
  <c r="B9" i="22"/>
  <c r="I6" i="22"/>
  <c r="D4" i="21"/>
  <c r="C4" i="21"/>
  <c r="B23" i="21"/>
  <c r="G22" i="21"/>
  <c r="B22" i="21"/>
  <c r="G21" i="21"/>
  <c r="J110" i="18" s="1"/>
  <c r="B21" i="21"/>
  <c r="B20" i="21"/>
  <c r="B19" i="21"/>
  <c r="G18" i="21"/>
  <c r="B18" i="21"/>
  <c r="G17" i="21"/>
  <c r="J106" i="18" s="1"/>
  <c r="B17" i="21"/>
  <c r="B16" i="21"/>
  <c r="B15" i="21"/>
  <c r="G14" i="21"/>
  <c r="B14" i="21"/>
  <c r="G13" i="21"/>
  <c r="J102" i="18" s="1"/>
  <c r="B13" i="21"/>
  <c r="B12" i="21"/>
  <c r="B11" i="21"/>
  <c r="G10" i="21"/>
  <c r="B10" i="21"/>
  <c r="G9" i="21"/>
  <c r="B9" i="21"/>
  <c r="I6" i="21"/>
  <c r="I7" i="21"/>
  <c r="I6" i="20"/>
  <c r="D4" i="20"/>
  <c r="C4" i="20"/>
  <c r="B23" i="20"/>
  <c r="B22" i="20"/>
  <c r="D21" i="18" s="1"/>
  <c r="G21" i="18" s="1"/>
  <c r="G21" i="20"/>
  <c r="J20" i="18" s="1"/>
  <c r="B21" i="20"/>
  <c r="B20" i="20"/>
  <c r="D19" i="18" s="1"/>
  <c r="G19" i="20"/>
  <c r="J18" i="18" s="1"/>
  <c r="B19" i="20"/>
  <c r="G18" i="20"/>
  <c r="J17" i="18" s="1"/>
  <c r="B18" i="20"/>
  <c r="D17" i="18" s="1"/>
  <c r="G17" i="18" s="1"/>
  <c r="B17" i="20"/>
  <c r="D16" i="18" s="1"/>
  <c r="G16" i="18" s="1"/>
  <c r="B16" i="20"/>
  <c r="D15" i="18" s="1"/>
  <c r="G15" i="18" s="1"/>
  <c r="B15" i="20"/>
  <c r="D14" i="18" s="1"/>
  <c r="B14" i="20"/>
  <c r="D13" i="18" s="1"/>
  <c r="G13" i="18" s="1"/>
  <c r="G13" i="20"/>
  <c r="J12" i="18" s="1"/>
  <c r="B13" i="20"/>
  <c r="B12" i="20"/>
  <c r="G11" i="20"/>
  <c r="J10" i="18" s="1"/>
  <c r="B11" i="20"/>
  <c r="D10" i="18" s="1"/>
  <c r="F10" i="18" s="1"/>
  <c r="G10" i="20"/>
  <c r="J9" i="18" s="1"/>
  <c r="B10" i="20"/>
  <c r="D9" i="18" s="1"/>
  <c r="G9" i="18" s="1"/>
  <c r="B9" i="20"/>
  <c r="D8" i="18" s="1"/>
  <c r="F8" i="18" s="1"/>
  <c r="I7" i="20"/>
  <c r="D4" i="19"/>
  <c r="C4" i="19"/>
  <c r="G23" i="19"/>
  <c r="J52" i="18" s="1"/>
  <c r="B23" i="19"/>
  <c r="B22" i="19"/>
  <c r="B21" i="19"/>
  <c r="B20" i="19"/>
  <c r="G19" i="19"/>
  <c r="J48" i="18" s="1"/>
  <c r="B19" i="19"/>
  <c r="B18" i="19"/>
  <c r="B17" i="19"/>
  <c r="B16" i="19"/>
  <c r="G15" i="19"/>
  <c r="J44" i="18" s="1"/>
  <c r="B15" i="19"/>
  <c r="B14" i="19"/>
  <c r="B13" i="19"/>
  <c r="B12" i="19"/>
  <c r="G11" i="19"/>
  <c r="J40" i="18" s="1"/>
  <c r="B11" i="19"/>
  <c r="B10" i="19"/>
  <c r="G9" i="19"/>
  <c r="J38" i="18" s="1"/>
  <c r="B9" i="19"/>
  <c r="I6" i="19"/>
  <c r="I7" i="19"/>
  <c r="G134" i="18"/>
  <c r="F134" i="18"/>
  <c r="U73" i="18"/>
  <c r="U73" i="18" a="1"/>
  <c r="F133" i="18"/>
  <c r="U72" i="18"/>
  <c r="U72" i="18" a="1"/>
  <c r="U71" i="18"/>
  <c r="U71" i="18" a="1"/>
  <c r="G131" i="18"/>
  <c r="U70" i="18"/>
  <c r="U70" i="18" a="1"/>
  <c r="F130" i="18"/>
  <c r="G130" i="18"/>
  <c r="U69" i="18"/>
  <c r="U69" i="18" a="1"/>
  <c r="F129" i="18"/>
  <c r="U68" i="18" a="1"/>
  <c r="U68" i="18" s="1"/>
  <c r="G128" i="18"/>
  <c r="G112" i="18"/>
  <c r="F112" i="18"/>
  <c r="G111" i="18"/>
  <c r="F108" i="18"/>
  <c r="G104" i="18"/>
  <c r="F104" i="18"/>
  <c r="F103" i="18"/>
  <c r="G101" i="18"/>
  <c r="G99" i="18"/>
  <c r="G81" i="18"/>
  <c r="F81" i="18"/>
  <c r="G79" i="18"/>
  <c r="F79" i="18"/>
  <c r="G77" i="18"/>
  <c r="F77" i="18"/>
  <c r="G74" i="18"/>
  <c r="F74" i="18"/>
  <c r="G73" i="18"/>
  <c r="F73" i="18"/>
  <c r="G71" i="18"/>
  <c r="F71" i="18"/>
  <c r="G69" i="18"/>
  <c r="F69" i="18"/>
  <c r="G68" i="18"/>
  <c r="F68" i="18"/>
  <c r="G51" i="18"/>
  <c r="G50" i="18"/>
  <c r="G49" i="18"/>
  <c r="F49" i="18"/>
  <c r="G47" i="18"/>
  <c r="G44" i="18"/>
  <c r="G43" i="18"/>
  <c r="F43" i="18"/>
  <c r="G41" i="18"/>
  <c r="G39" i="18"/>
  <c r="F39" i="18"/>
  <c r="G38" i="18"/>
  <c r="F22" i="18"/>
  <c r="G18" i="18"/>
  <c r="F18" i="18"/>
  <c r="F11" i="18"/>
  <c r="G11" i="18"/>
  <c r="AB9" i="18"/>
  <c r="AA9" i="18"/>
  <c r="AB8" i="18"/>
  <c r="AA8" i="18"/>
  <c r="AB7" i="18"/>
  <c r="AA7" i="18"/>
  <c r="AB6" i="18"/>
  <c r="AA6" i="18"/>
  <c r="AB5" i="18"/>
  <c r="AA5" i="18"/>
  <c r="I4" i="18"/>
  <c r="H4" i="18"/>
  <c r="AG9" i="18" s="1"/>
  <c r="F4" i="18"/>
  <c r="F5" i="18" s="1"/>
  <c r="L39" i="18" s="1" a="1"/>
  <c r="L39" i="18" s="1"/>
  <c r="M39" i="18" s="1"/>
  <c r="E4" i="18"/>
  <c r="H134" i="18" s="1"/>
  <c r="B9" i="17"/>
  <c r="C9" i="17"/>
  <c r="D9" i="17" s="1"/>
  <c r="C68" i="18" s="1"/>
  <c r="D10" i="5"/>
  <c r="C12" i="5"/>
  <c r="C69" i="5"/>
  <c r="B10" i="5"/>
  <c r="B9" i="5"/>
  <c r="T23" i="1"/>
  <c r="D4" i="17"/>
  <c r="C4" i="17"/>
  <c r="G23" i="17"/>
  <c r="G22" i="17"/>
  <c r="J81" i="18" s="1"/>
  <c r="G20" i="17"/>
  <c r="J79" i="18" s="1"/>
  <c r="G18" i="17"/>
  <c r="J77" i="18" s="1"/>
  <c r="G15" i="17"/>
  <c r="G14" i="17"/>
  <c r="J73" i="18" s="1"/>
  <c r="G12" i="17"/>
  <c r="J71" i="18" s="1"/>
  <c r="G10" i="17"/>
  <c r="J69" i="18" s="1"/>
  <c r="G9" i="17"/>
  <c r="I7" i="17"/>
  <c r="I6" i="17"/>
  <c r="D25" i="16"/>
  <c r="C23" i="17" s="1"/>
  <c r="D23" i="17" s="1"/>
  <c r="C82" i="18" s="1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11" i="16"/>
  <c r="I19" i="16"/>
  <c r="I11" i="16"/>
  <c r="F9" i="20" s="1"/>
  <c r="G9" i="20" s="1"/>
  <c r="J8" i="18" s="1"/>
  <c r="C16" i="1"/>
  <c r="T11" i="16"/>
  <c r="H27" i="18" l="1"/>
  <c r="H26" i="18"/>
  <c r="H56" i="18"/>
  <c r="H65" i="18"/>
  <c r="H144" i="18"/>
  <c r="H153" i="18"/>
  <c r="H64" i="18"/>
  <c r="H57" i="18"/>
  <c r="H152" i="18"/>
  <c r="H37" i="18"/>
  <c r="H35" i="18"/>
  <c r="H25" i="18"/>
  <c r="H66" i="18"/>
  <c r="H58" i="18"/>
  <c r="H154" i="18"/>
  <c r="H146" i="18"/>
  <c r="H34" i="18"/>
  <c r="H67" i="18"/>
  <c r="H59" i="18"/>
  <c r="H155" i="18"/>
  <c r="H147" i="18"/>
  <c r="H33" i="18"/>
  <c r="H60" i="18"/>
  <c r="H156" i="18"/>
  <c r="H148" i="18"/>
  <c r="H30" i="18"/>
  <c r="H61" i="18"/>
  <c r="H53" i="18"/>
  <c r="H157" i="18"/>
  <c r="H149" i="18"/>
  <c r="H29" i="18"/>
  <c r="H62" i="18"/>
  <c r="H54" i="18"/>
  <c r="H150" i="18"/>
  <c r="H28" i="18"/>
  <c r="H63" i="18"/>
  <c r="H55" i="18"/>
  <c r="H151" i="18"/>
  <c r="H143" i="18"/>
  <c r="L51" i="18" a="1"/>
  <c r="L51" i="18" s="1"/>
  <c r="M51" i="18" s="1"/>
  <c r="L46" i="18" a="1"/>
  <c r="L46" i="18" s="1"/>
  <c r="M46" i="18" s="1"/>
  <c r="L36" i="18" a="1"/>
  <c r="L36" i="18" s="1"/>
  <c r="M36" i="18" s="1"/>
  <c r="L41" i="18" a="1"/>
  <c r="L41" i="18" s="1"/>
  <c r="M41" i="18" s="1"/>
  <c r="L35" i="18" a="1"/>
  <c r="L35" i="18" s="1"/>
  <c r="M35" i="18" s="1"/>
  <c r="L44" i="18" a="1"/>
  <c r="L44" i="18" s="1"/>
  <c r="M44" i="18" s="1"/>
  <c r="L49" i="18" a="1"/>
  <c r="L49" i="18" s="1"/>
  <c r="M49" i="18" s="1"/>
  <c r="L40" i="18" a="1"/>
  <c r="L40" i="18" s="1"/>
  <c r="M40" i="18" s="1"/>
  <c r="L34" i="18" a="1"/>
  <c r="L34" i="18" s="1"/>
  <c r="M34" i="18" s="1"/>
  <c r="L50" i="18" a="1"/>
  <c r="L50" i="18" s="1"/>
  <c r="M50" i="18" s="1"/>
  <c r="H32" i="18"/>
  <c r="H24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31" i="18"/>
  <c r="H23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G17" i="20"/>
  <c r="J16" i="18" s="1"/>
  <c r="G16" i="20"/>
  <c r="J15" i="18" s="1"/>
  <c r="G22" i="20"/>
  <c r="J21" i="18" s="1"/>
  <c r="G14" i="20"/>
  <c r="J13" i="18" s="1"/>
  <c r="D28" i="16"/>
  <c r="D29" i="16"/>
  <c r="D37" i="16"/>
  <c r="D34" i="16"/>
  <c r="D35" i="16"/>
  <c r="D36" i="16"/>
  <c r="D30" i="16"/>
  <c r="D38" i="16"/>
  <c r="D27" i="16"/>
  <c r="D31" i="16"/>
  <c r="D39" i="16"/>
  <c r="D32" i="16"/>
  <c r="H41" i="18"/>
  <c r="H139" i="18"/>
  <c r="H132" i="18"/>
  <c r="H46" i="18"/>
  <c r="H82" i="18"/>
  <c r="H104" i="18"/>
  <c r="H109" i="18"/>
  <c r="H130" i="18"/>
  <c r="H16" i="18"/>
  <c r="H81" i="18"/>
  <c r="H129" i="18"/>
  <c r="H71" i="18"/>
  <c r="H107" i="18"/>
  <c r="E5" i="18"/>
  <c r="X6" i="18" s="1"/>
  <c r="H68" i="18"/>
  <c r="H108" i="18"/>
  <c r="H131" i="18"/>
  <c r="H51" i="18"/>
  <c r="H74" i="18"/>
  <c r="H99" i="18"/>
  <c r="H50" i="18"/>
  <c r="H73" i="18"/>
  <c r="H141" i="18"/>
  <c r="H49" i="18"/>
  <c r="H72" i="18"/>
  <c r="H140" i="18"/>
  <c r="H52" i="18"/>
  <c r="H42" i="18"/>
  <c r="H75" i="18"/>
  <c r="H110" i="18"/>
  <c r="H100" i="18"/>
  <c r="H133" i="18"/>
  <c r="H45" i="18"/>
  <c r="H80" i="18"/>
  <c r="H70" i="18"/>
  <c r="H103" i="18"/>
  <c r="H138" i="18"/>
  <c r="H8" i="18"/>
  <c r="H44" i="18"/>
  <c r="H79" i="18"/>
  <c r="H112" i="18"/>
  <c r="H102" i="18"/>
  <c r="H137" i="18"/>
  <c r="AC6" i="18"/>
  <c r="H38" i="18"/>
  <c r="H43" i="18"/>
  <c r="H78" i="18"/>
  <c r="H111" i="18"/>
  <c r="H101" i="18"/>
  <c r="H136" i="18"/>
  <c r="AC7" i="18"/>
  <c r="AC5" i="18"/>
  <c r="H14" i="18"/>
  <c r="H48" i="18"/>
  <c r="H40" i="18"/>
  <c r="H77" i="18"/>
  <c r="H69" i="18"/>
  <c r="H106" i="18"/>
  <c r="H128" i="18"/>
  <c r="H135" i="18"/>
  <c r="H18" i="18"/>
  <c r="AC9" i="18"/>
  <c r="H20" i="18"/>
  <c r="H47" i="18"/>
  <c r="H39" i="18"/>
  <c r="H76" i="18"/>
  <c r="H98" i="18"/>
  <c r="H105" i="18"/>
  <c r="H142" i="18"/>
  <c r="H15" i="18"/>
  <c r="H11" i="18"/>
  <c r="H19" i="18"/>
  <c r="H13" i="18"/>
  <c r="H10" i="18"/>
  <c r="H21" i="18"/>
  <c r="G102" i="18"/>
  <c r="F110" i="18"/>
  <c r="G80" i="18"/>
  <c r="F78" i="18"/>
  <c r="F76" i="18"/>
  <c r="F42" i="18"/>
  <c r="P30" i="18"/>
  <c r="G14" i="18"/>
  <c r="F14" i="18"/>
  <c r="G19" i="18"/>
  <c r="F19" i="18"/>
  <c r="F20" i="18"/>
  <c r="F16" i="18"/>
  <c r="C23" i="22"/>
  <c r="D23" i="22" s="1"/>
  <c r="C142" i="18" s="1"/>
  <c r="I7" i="22"/>
  <c r="C9" i="22"/>
  <c r="D9" i="22" s="1"/>
  <c r="C128" i="18" s="1"/>
  <c r="C16" i="21"/>
  <c r="D16" i="21" s="1"/>
  <c r="C105" i="18" s="1"/>
  <c r="C23" i="21"/>
  <c r="D23" i="21" s="1"/>
  <c r="C112" i="18" s="1"/>
  <c r="C9" i="21"/>
  <c r="D9" i="21" s="1"/>
  <c r="C98" i="18" s="1"/>
  <c r="C23" i="20"/>
  <c r="D23" i="20" s="1"/>
  <c r="C22" i="18" s="1"/>
  <c r="C9" i="20"/>
  <c r="D9" i="20" s="1"/>
  <c r="C8" i="18" s="1"/>
  <c r="C23" i="19"/>
  <c r="D23" i="19" s="1"/>
  <c r="C52" i="18" s="1"/>
  <c r="C9" i="19"/>
  <c r="D9" i="19" s="1"/>
  <c r="C38" i="18" s="1"/>
  <c r="I21" i="18"/>
  <c r="I76" i="18"/>
  <c r="AG7" i="18"/>
  <c r="AG8" i="18"/>
  <c r="G52" i="18"/>
  <c r="F52" i="18"/>
  <c r="G75" i="18"/>
  <c r="F75" i="18"/>
  <c r="G142" i="18"/>
  <c r="F142" i="18"/>
  <c r="F15" i="18"/>
  <c r="F70" i="18"/>
  <c r="G70" i="18"/>
  <c r="G108" i="18"/>
  <c r="F111" i="18"/>
  <c r="G137" i="18"/>
  <c r="F137" i="18"/>
  <c r="AF5" i="18"/>
  <c r="F21" i="18"/>
  <c r="AG5" i="18"/>
  <c r="G10" i="18"/>
  <c r="F17" i="18"/>
  <c r="G22" i="18"/>
  <c r="F40" i="18"/>
  <c r="F107" i="18"/>
  <c r="G107" i="18"/>
  <c r="G129" i="18"/>
  <c r="G141" i="18"/>
  <c r="F141" i="18"/>
  <c r="F135" i="18"/>
  <c r="G135" i="18"/>
  <c r="AC8" i="18"/>
  <c r="F9" i="18"/>
  <c r="G133" i="18"/>
  <c r="G72" i="18"/>
  <c r="F72" i="18"/>
  <c r="F98" i="18"/>
  <c r="G98" i="18"/>
  <c r="F106" i="18"/>
  <c r="G106" i="18"/>
  <c r="F105" i="18"/>
  <c r="G105" i="18"/>
  <c r="G45" i="18"/>
  <c r="F45" i="18"/>
  <c r="H22" i="18"/>
  <c r="H12" i="18"/>
  <c r="AG6" i="18"/>
  <c r="G8" i="18"/>
  <c r="H9" i="18"/>
  <c r="AF9" i="18"/>
  <c r="AH9" i="18" s="1"/>
  <c r="F12" i="18"/>
  <c r="F13" i="18"/>
  <c r="H17" i="18"/>
  <c r="G48" i="18"/>
  <c r="F48" i="18"/>
  <c r="F128" i="18"/>
  <c r="G138" i="18"/>
  <c r="F138" i="18"/>
  <c r="F82" i="18"/>
  <c r="G82" i="18"/>
  <c r="AF6" i="18"/>
  <c r="AF7" i="18"/>
  <c r="AF8" i="18"/>
  <c r="AH8" i="18" s="1"/>
  <c r="G109" i="18"/>
  <c r="G136" i="18"/>
  <c r="F136" i="18"/>
  <c r="G140" i="18"/>
  <c r="F140" i="18"/>
  <c r="F38" i="18"/>
  <c r="F44" i="18"/>
  <c r="F46" i="18"/>
  <c r="F47" i="18"/>
  <c r="F51" i="18"/>
  <c r="F99" i="18"/>
  <c r="F100" i="18"/>
  <c r="F101" i="18"/>
  <c r="G139" i="18"/>
  <c r="F139" i="18"/>
  <c r="G132" i="18"/>
  <c r="F132" i="18"/>
  <c r="I25" i="16"/>
  <c r="F25" i="16"/>
  <c r="B25" i="16"/>
  <c r="B23" i="17" s="1"/>
  <c r="I24" i="16"/>
  <c r="F24" i="16"/>
  <c r="D24" i="16"/>
  <c r="C22" i="21" s="1"/>
  <c r="D22" i="21" s="1"/>
  <c r="C111" i="18" s="1"/>
  <c r="B24" i="16"/>
  <c r="B22" i="17" s="1"/>
  <c r="I23" i="16"/>
  <c r="F23" i="16"/>
  <c r="D23" i="16"/>
  <c r="B23" i="16"/>
  <c r="B21" i="17" s="1"/>
  <c r="I22" i="16"/>
  <c r="F22" i="16"/>
  <c r="D22" i="16"/>
  <c r="B22" i="16"/>
  <c r="B20" i="17" s="1"/>
  <c r="I21" i="16"/>
  <c r="F21" i="16"/>
  <c r="D21" i="16"/>
  <c r="C19" i="17" s="1"/>
  <c r="D19" i="17" s="1"/>
  <c r="C78" i="18" s="1"/>
  <c r="B21" i="16"/>
  <c r="B19" i="17" s="1"/>
  <c r="I20" i="16"/>
  <c r="F20" i="16"/>
  <c r="D20" i="16"/>
  <c r="C18" i="21" s="1"/>
  <c r="D18" i="21" s="1"/>
  <c r="C107" i="18" s="1"/>
  <c r="B20" i="16"/>
  <c r="B18" i="17" s="1"/>
  <c r="F19" i="16"/>
  <c r="D19" i="16"/>
  <c r="C17" i="17" s="1"/>
  <c r="D17" i="17" s="1"/>
  <c r="C76" i="18" s="1"/>
  <c r="B19" i="16"/>
  <c r="B17" i="17" s="1"/>
  <c r="I18" i="16"/>
  <c r="F18" i="16"/>
  <c r="D18" i="16"/>
  <c r="C16" i="19" s="1"/>
  <c r="D16" i="19" s="1"/>
  <c r="C45" i="18" s="1"/>
  <c r="B18" i="16"/>
  <c r="B16" i="17" s="1"/>
  <c r="I17" i="16"/>
  <c r="F17" i="16"/>
  <c r="D17" i="16"/>
  <c r="C15" i="17" s="1"/>
  <c r="D15" i="17" s="1"/>
  <c r="C74" i="18" s="1"/>
  <c r="B17" i="16"/>
  <c r="B15" i="17" s="1"/>
  <c r="I16" i="16"/>
  <c r="F16" i="16"/>
  <c r="D16" i="16"/>
  <c r="C14" i="19" s="1"/>
  <c r="D14" i="19" s="1"/>
  <c r="C43" i="18" s="1"/>
  <c r="B16" i="16"/>
  <c r="B14" i="17" s="1"/>
  <c r="I15" i="16"/>
  <c r="F15" i="16"/>
  <c r="D15" i="16"/>
  <c r="C13" i="17" s="1"/>
  <c r="D13" i="17" s="1"/>
  <c r="C72" i="18" s="1"/>
  <c r="B15" i="16"/>
  <c r="B13" i="17" s="1"/>
  <c r="I14" i="16"/>
  <c r="F14" i="16"/>
  <c r="D14" i="16"/>
  <c r="C12" i="19" s="1"/>
  <c r="D12" i="19" s="1"/>
  <c r="C41" i="18" s="1"/>
  <c r="B14" i="16"/>
  <c r="B12" i="17" s="1"/>
  <c r="I13" i="16"/>
  <c r="F13" i="16"/>
  <c r="D13" i="16"/>
  <c r="C11" i="17" s="1"/>
  <c r="D11" i="17" s="1"/>
  <c r="C70" i="18" s="1"/>
  <c r="B13" i="16"/>
  <c r="B11" i="17" s="1"/>
  <c r="I12" i="16"/>
  <c r="F12" i="16"/>
  <c r="D12" i="16"/>
  <c r="C10" i="21" s="1"/>
  <c r="D10" i="21" s="1"/>
  <c r="C99" i="18" s="1"/>
  <c r="B10" i="17"/>
  <c r="F11" i="16"/>
  <c r="T13" i="16"/>
  <c r="T19" i="16" s="1"/>
  <c r="T12" i="16"/>
  <c r="T18" i="16" s="1"/>
  <c r="T17" i="16"/>
  <c r="T10" i="16"/>
  <c r="T16" i="16" s="1"/>
  <c r="T9" i="16"/>
  <c r="T15" i="16" s="1"/>
  <c r="K8" i="16"/>
  <c r="J6" i="16"/>
  <c r="K5" i="16"/>
  <c r="K4" i="16"/>
  <c r="Q2" i="16"/>
  <c r="K7" i="16" s="1"/>
  <c r="P2" i="16"/>
  <c r="J5" i="16" s="1"/>
  <c r="I113" i="18" l="1"/>
  <c r="I123" i="18"/>
  <c r="I148" i="18"/>
  <c r="I120" i="18"/>
  <c r="I117" i="18"/>
  <c r="I127" i="18"/>
  <c r="I152" i="18"/>
  <c r="I114" i="18"/>
  <c r="I124" i="18"/>
  <c r="I126" i="18"/>
  <c r="I149" i="18"/>
  <c r="I121" i="18"/>
  <c r="I146" i="18"/>
  <c r="I156" i="18"/>
  <c r="I143" i="18"/>
  <c r="I118" i="18"/>
  <c r="I153" i="18"/>
  <c r="I145" i="18"/>
  <c r="I115" i="18"/>
  <c r="I125" i="18"/>
  <c r="I150" i="18"/>
  <c r="I122" i="18"/>
  <c r="I116" i="18"/>
  <c r="I147" i="18"/>
  <c r="I157" i="18"/>
  <c r="I151" i="18"/>
  <c r="I144" i="18"/>
  <c r="I119" i="18"/>
  <c r="I154" i="18"/>
  <c r="I155" i="18"/>
  <c r="I48" i="18"/>
  <c r="I60" i="18"/>
  <c r="I24" i="18"/>
  <c r="I85" i="18"/>
  <c r="I95" i="18"/>
  <c r="I25" i="18"/>
  <c r="I57" i="18"/>
  <c r="I67" i="18"/>
  <c r="I26" i="18"/>
  <c r="I54" i="18"/>
  <c r="I64" i="18"/>
  <c r="I28" i="18"/>
  <c r="I92" i="18"/>
  <c r="I89" i="18"/>
  <c r="I29" i="18"/>
  <c r="I61" i="18"/>
  <c r="I30" i="18"/>
  <c r="I86" i="18"/>
  <c r="I96" i="18"/>
  <c r="I31" i="18"/>
  <c r="I23" i="18"/>
  <c r="I27" i="18"/>
  <c r="I58" i="18"/>
  <c r="I32" i="18"/>
  <c r="I83" i="18"/>
  <c r="I93" i="18"/>
  <c r="I33" i="18"/>
  <c r="I55" i="18"/>
  <c r="I65" i="18"/>
  <c r="I34" i="18"/>
  <c r="I90" i="18"/>
  <c r="I35" i="18"/>
  <c r="I62" i="18"/>
  <c r="I36" i="18"/>
  <c r="I88" i="18"/>
  <c r="I87" i="18"/>
  <c r="I97" i="18"/>
  <c r="I37" i="18"/>
  <c r="I59" i="18"/>
  <c r="I84" i="18"/>
  <c r="I94" i="18"/>
  <c r="I56" i="18"/>
  <c r="I66" i="18"/>
  <c r="I91" i="18"/>
  <c r="I53" i="18"/>
  <c r="I63" i="18"/>
  <c r="C11" i="19"/>
  <c r="D11" i="19" s="1"/>
  <c r="C40" i="18" s="1"/>
  <c r="C14" i="20"/>
  <c r="D14" i="20" s="1"/>
  <c r="C13" i="18" s="1"/>
  <c r="C10" i="20"/>
  <c r="D10" i="20" s="1"/>
  <c r="C9" i="18" s="1"/>
  <c r="C15" i="22"/>
  <c r="D15" i="22" s="1"/>
  <c r="C134" i="18" s="1"/>
  <c r="C12" i="21"/>
  <c r="D12" i="21" s="1"/>
  <c r="C101" i="18" s="1"/>
  <c r="C22" i="19"/>
  <c r="D22" i="19" s="1"/>
  <c r="C51" i="18" s="1"/>
  <c r="C18" i="19"/>
  <c r="D18" i="19" s="1"/>
  <c r="C47" i="18" s="1"/>
  <c r="C10" i="19"/>
  <c r="D10" i="19" s="1"/>
  <c r="C39" i="18" s="1"/>
  <c r="C14" i="21"/>
  <c r="D14" i="21" s="1"/>
  <c r="C103" i="18" s="1"/>
  <c r="C11" i="22"/>
  <c r="D11" i="22" s="1"/>
  <c r="C130" i="18" s="1"/>
  <c r="C21" i="19"/>
  <c r="D21" i="19" s="1"/>
  <c r="C50" i="18" s="1"/>
  <c r="C21" i="21"/>
  <c r="D21" i="21" s="1"/>
  <c r="C110" i="18" s="1"/>
  <c r="C21" i="17"/>
  <c r="D21" i="17" s="1"/>
  <c r="C80" i="18" s="1"/>
  <c r="C21" i="20"/>
  <c r="D21" i="20" s="1"/>
  <c r="C20" i="18" s="1"/>
  <c r="C21" i="22"/>
  <c r="D21" i="22" s="1"/>
  <c r="C140" i="18" s="1"/>
  <c r="C13" i="20"/>
  <c r="D13" i="20" s="1"/>
  <c r="C12" i="18" s="1"/>
  <c r="C15" i="20"/>
  <c r="D15" i="20" s="1"/>
  <c r="C14" i="18" s="1"/>
  <c r="C13" i="22"/>
  <c r="D13" i="22" s="1"/>
  <c r="C132" i="18" s="1"/>
  <c r="C11" i="20"/>
  <c r="D11" i="20" s="1"/>
  <c r="C10" i="18" s="1"/>
  <c r="C20" i="17"/>
  <c r="D20" i="17" s="1"/>
  <c r="C79" i="18" s="1"/>
  <c r="C20" i="20"/>
  <c r="D20" i="20" s="1"/>
  <c r="C19" i="18" s="1"/>
  <c r="C20" i="22"/>
  <c r="D20" i="22" s="1"/>
  <c r="C139" i="18" s="1"/>
  <c r="C13" i="19"/>
  <c r="D13" i="19" s="1"/>
  <c r="C42" i="18" s="1"/>
  <c r="C19" i="19"/>
  <c r="D19" i="19" s="1"/>
  <c r="C48" i="18" s="1"/>
  <c r="C19" i="20"/>
  <c r="D19" i="20" s="1"/>
  <c r="C18" i="18" s="1"/>
  <c r="C17" i="21"/>
  <c r="D17" i="21" s="1"/>
  <c r="C106" i="18" s="1"/>
  <c r="C15" i="21"/>
  <c r="D15" i="21" s="1"/>
  <c r="C104" i="18" s="1"/>
  <c r="C17" i="19"/>
  <c r="D17" i="19" s="1"/>
  <c r="C46" i="18" s="1"/>
  <c r="C18" i="22"/>
  <c r="D18" i="22" s="1"/>
  <c r="C137" i="18" s="1"/>
  <c r="C18" i="17"/>
  <c r="D18" i="17" s="1"/>
  <c r="C77" i="18" s="1"/>
  <c r="C22" i="17"/>
  <c r="D22" i="17" s="1"/>
  <c r="C81" i="18" s="1"/>
  <c r="C22" i="22"/>
  <c r="D22" i="22" s="1"/>
  <c r="C141" i="18" s="1"/>
  <c r="C10" i="22"/>
  <c r="D10" i="22" s="1"/>
  <c r="C129" i="18" s="1"/>
  <c r="C10" i="17"/>
  <c r="D10" i="17" s="1"/>
  <c r="C69" i="18" s="1"/>
  <c r="C12" i="22"/>
  <c r="D12" i="22" s="1"/>
  <c r="C131" i="18" s="1"/>
  <c r="C12" i="17"/>
  <c r="D12" i="17" s="1"/>
  <c r="C71" i="18" s="1"/>
  <c r="C12" i="20"/>
  <c r="D12" i="20" s="1"/>
  <c r="C11" i="18" s="1"/>
  <c r="C14" i="22"/>
  <c r="D14" i="22" s="1"/>
  <c r="C133" i="18" s="1"/>
  <c r="C14" i="17"/>
  <c r="D14" i="17" s="1"/>
  <c r="C73" i="18" s="1"/>
  <c r="C16" i="20"/>
  <c r="D16" i="20" s="1"/>
  <c r="C15" i="18" s="1"/>
  <c r="C16" i="22"/>
  <c r="D16" i="22" s="1"/>
  <c r="C135" i="18" s="1"/>
  <c r="C16" i="17"/>
  <c r="D16" i="17" s="1"/>
  <c r="C75" i="18" s="1"/>
  <c r="C15" i="19"/>
  <c r="D15" i="19" s="1"/>
  <c r="C44" i="18" s="1"/>
  <c r="C22" i="20"/>
  <c r="D22" i="20" s="1"/>
  <c r="C21" i="18" s="1"/>
  <c r="C13" i="21"/>
  <c r="D13" i="21" s="1"/>
  <c r="C102" i="18" s="1"/>
  <c r="C11" i="21"/>
  <c r="D11" i="21" s="1"/>
  <c r="C100" i="18" s="1"/>
  <c r="C17" i="20"/>
  <c r="D17" i="20" s="1"/>
  <c r="C16" i="18" s="1"/>
  <c r="C17" i="22"/>
  <c r="D17" i="22" s="1"/>
  <c r="C136" i="18" s="1"/>
  <c r="C20" i="19"/>
  <c r="D20" i="19" s="1"/>
  <c r="C49" i="18" s="1"/>
  <c r="C18" i="20"/>
  <c r="D18" i="20" s="1"/>
  <c r="C17" i="18" s="1"/>
  <c r="C20" i="21"/>
  <c r="D20" i="21" s="1"/>
  <c r="C109" i="18" s="1"/>
  <c r="C19" i="22"/>
  <c r="D19" i="22" s="1"/>
  <c r="C138" i="18" s="1"/>
  <c r="C19" i="21"/>
  <c r="D19" i="21" s="1"/>
  <c r="C108" i="18" s="1"/>
  <c r="W7" i="18"/>
  <c r="W5" i="18"/>
  <c r="W8" i="18"/>
  <c r="X8" i="18"/>
  <c r="W9" i="18"/>
  <c r="X7" i="18"/>
  <c r="X9" i="18"/>
  <c r="X5" i="18"/>
  <c r="I72" i="18"/>
  <c r="AH7" i="18"/>
  <c r="I70" i="18"/>
  <c r="W6" i="18"/>
  <c r="I50" i="18"/>
  <c r="I14" i="18"/>
  <c r="I80" i="18"/>
  <c r="I19" i="18"/>
  <c r="I49" i="18"/>
  <c r="I47" i="18"/>
  <c r="I81" i="18"/>
  <c r="I20" i="18"/>
  <c r="I8" i="18"/>
  <c r="I74" i="18"/>
  <c r="I16" i="18"/>
  <c r="I38" i="18"/>
  <c r="I41" i="18"/>
  <c r="I52" i="18"/>
  <c r="I11" i="18"/>
  <c r="I69" i="18"/>
  <c r="I40" i="18"/>
  <c r="I51" i="18"/>
  <c r="I68" i="18"/>
  <c r="I82" i="18"/>
  <c r="I15" i="18"/>
  <c r="I78" i="18"/>
  <c r="I45" i="18"/>
  <c r="I9" i="18"/>
  <c r="I17" i="18"/>
  <c r="I18" i="18"/>
  <c r="I79" i="18"/>
  <c r="I77" i="18"/>
  <c r="I39" i="18"/>
  <c r="I73" i="18"/>
  <c r="AH6" i="18"/>
  <c r="I46" i="18"/>
  <c r="I42" i="18"/>
  <c r="I12" i="18"/>
  <c r="I43" i="18"/>
  <c r="I75" i="18"/>
  <c r="I71" i="18"/>
  <c r="I10" i="18"/>
  <c r="I13" i="18"/>
  <c r="I44" i="18"/>
  <c r="I22" i="18"/>
  <c r="AH5" i="18"/>
  <c r="I130" i="18"/>
  <c r="I111" i="18"/>
  <c r="I135" i="18"/>
  <c r="I133" i="18"/>
  <c r="I105" i="18"/>
  <c r="I134" i="18"/>
  <c r="I104" i="18"/>
  <c r="I140" i="18"/>
  <c r="I136" i="18"/>
  <c r="I106" i="18"/>
  <c r="I98" i="18"/>
  <c r="I107" i="18"/>
  <c r="I141" i="18"/>
  <c r="I137" i="18"/>
  <c r="I129" i="18"/>
  <c r="I110" i="18"/>
  <c r="I108" i="18"/>
  <c r="I128" i="18"/>
  <c r="I109" i="18"/>
  <c r="I103" i="18"/>
  <c r="I99" i="18"/>
  <c r="I142" i="18"/>
  <c r="I102" i="18"/>
  <c r="I139" i="18"/>
  <c r="I132" i="18"/>
  <c r="I138" i="18"/>
  <c r="I112" i="18"/>
  <c r="I131" i="18"/>
  <c r="I100" i="18"/>
  <c r="I101" i="18"/>
  <c r="T24" i="16"/>
  <c r="T30" i="16"/>
  <c r="T25" i="16"/>
  <c r="T31" i="16"/>
  <c r="T29" i="16"/>
  <c r="T23" i="16"/>
  <c r="T21" i="16"/>
  <c r="T27" i="16"/>
  <c r="T22" i="16"/>
  <c r="T28" i="16"/>
  <c r="K6" i="16"/>
  <c r="J7" i="16"/>
  <c r="J4" i="16"/>
  <c r="J8" i="16"/>
  <c r="P125" i="15"/>
  <c r="P126" i="15"/>
  <c r="P127" i="15"/>
  <c r="P97" i="15"/>
  <c r="E41" i="18" l="1"/>
  <c r="E53" i="18"/>
  <c r="E54" i="18"/>
  <c r="E55" i="18"/>
  <c r="E56" i="18"/>
  <c r="E57" i="18"/>
  <c r="E58" i="18"/>
  <c r="E59" i="18"/>
  <c r="E60" i="18"/>
  <c r="E61" i="18"/>
  <c r="E62" i="18"/>
  <c r="E63" i="18"/>
  <c r="E64" i="18"/>
  <c r="E65" i="18"/>
  <c r="E66" i="18"/>
  <c r="E67" i="18"/>
  <c r="E145" i="18"/>
  <c r="E146" i="18"/>
  <c r="E144" i="18"/>
  <c r="E143" i="18"/>
  <c r="E147" i="18"/>
  <c r="E148" i="18"/>
  <c r="E149" i="18"/>
  <c r="E150" i="18"/>
  <c r="E151" i="18"/>
  <c r="E152" i="18"/>
  <c r="E153" i="18"/>
  <c r="E154" i="18"/>
  <c r="E155" i="18"/>
  <c r="E156" i="18"/>
  <c r="E157" i="18"/>
  <c r="E83" i="18"/>
  <c r="E84" i="18"/>
  <c r="E85" i="18"/>
  <c r="E86" i="18"/>
  <c r="E87" i="18"/>
  <c r="E88" i="18"/>
  <c r="E89" i="18"/>
  <c r="E90" i="18"/>
  <c r="E91" i="18"/>
  <c r="E92" i="18"/>
  <c r="E93" i="18"/>
  <c r="E94" i="18"/>
  <c r="E95" i="18"/>
  <c r="E96" i="18"/>
  <c r="E97" i="18"/>
  <c r="E128" i="18"/>
  <c r="E26" i="18"/>
  <c r="E34" i="18"/>
  <c r="E28" i="18"/>
  <c r="E29" i="18"/>
  <c r="E27" i="18"/>
  <c r="E35" i="18"/>
  <c r="E36" i="18"/>
  <c r="E37" i="18"/>
  <c r="E30" i="18"/>
  <c r="E23" i="18"/>
  <c r="E31" i="18"/>
  <c r="E24" i="18"/>
  <c r="E32" i="18"/>
  <c r="E25" i="18"/>
  <c r="E33" i="18"/>
  <c r="E38" i="18"/>
  <c r="E68" i="18"/>
  <c r="E100" i="18"/>
  <c r="E113" i="18"/>
  <c r="E114" i="18"/>
  <c r="E115" i="18"/>
  <c r="E116" i="18"/>
  <c r="E117" i="18"/>
  <c r="E118" i="18"/>
  <c r="E119" i="18"/>
  <c r="E120" i="18"/>
  <c r="E121" i="18"/>
  <c r="E122" i="18"/>
  <c r="E123" i="18"/>
  <c r="E124" i="18"/>
  <c r="E125" i="18"/>
  <c r="E126" i="18"/>
  <c r="E127" i="18"/>
  <c r="L25" i="18" a="1"/>
  <c r="L25" i="18" s="1"/>
  <c r="M25" i="18" s="1"/>
  <c r="P25" i="18" s="1"/>
  <c r="L15" i="18" a="1"/>
  <c r="L15" i="18" s="1"/>
  <c r="M15" i="18" s="1"/>
  <c r="Q15" i="18" s="1"/>
  <c r="L22" i="18" a="1"/>
  <c r="L22" i="18" s="1"/>
  <c r="M22" i="18" s="1"/>
  <c r="P22" i="18" s="1"/>
  <c r="L13" i="18" a="1"/>
  <c r="L13" i="18" s="1"/>
  <c r="L16" i="18" a="1"/>
  <c r="L16" i="18" s="1"/>
  <c r="M16" i="18" s="1"/>
  <c r="Q16" i="18" s="1"/>
  <c r="L29" i="18" a="1"/>
  <c r="L29" i="18" s="1"/>
  <c r="M29" i="18" s="1"/>
  <c r="P29" i="18" s="1"/>
  <c r="L23" i="18" a="1"/>
  <c r="L23" i="18" s="1"/>
  <c r="M23" i="18" s="1"/>
  <c r="L18" i="18" a="1"/>
  <c r="L18" i="18" s="1"/>
  <c r="M18" i="18" s="1"/>
  <c r="Q18" i="18" s="1"/>
  <c r="L24" i="18" a="1"/>
  <c r="L24" i="18" s="1"/>
  <c r="M24" i="18" s="1"/>
  <c r="L10" i="18" a="1"/>
  <c r="L10" i="18" s="1"/>
  <c r="L27" i="18" a="1"/>
  <c r="L27" i="18" s="1"/>
  <c r="M27" i="18" s="1"/>
  <c r="L12" i="18" a="1"/>
  <c r="L12" i="18" s="1"/>
  <c r="L9" i="18" a="1"/>
  <c r="L9" i="18" s="1"/>
  <c r="L21" i="18" a="1"/>
  <c r="L21" i="18" s="1"/>
  <c r="M21" i="18" s="1"/>
  <c r="O21" i="18" s="1"/>
  <c r="L28" i="18" a="1"/>
  <c r="L28" i="18" s="1"/>
  <c r="M28" i="18" s="1"/>
  <c r="L11" i="18" a="1"/>
  <c r="L11" i="18" s="1"/>
  <c r="M11" i="18" s="1"/>
  <c r="L8" i="18" a="1"/>
  <c r="L8" i="18" s="1"/>
  <c r="L17" i="18" a="1"/>
  <c r="L17" i="18" s="1"/>
  <c r="M17" i="18" s="1"/>
  <c r="L26" i="18" a="1"/>
  <c r="L26" i="18" s="1"/>
  <c r="M26" i="18" s="1"/>
  <c r="L14" i="18" a="1"/>
  <c r="L14" i="18" s="1"/>
  <c r="M14" i="18" s="1"/>
  <c r="N14" i="18" s="1"/>
  <c r="L19" i="18" a="1"/>
  <c r="L19" i="18" s="1"/>
  <c r="M19" i="18" s="1"/>
  <c r="Q19" i="18" s="1"/>
  <c r="L20" i="18" a="1"/>
  <c r="L20" i="18" s="1"/>
  <c r="M20" i="18" s="1"/>
  <c r="N20" i="18" s="1"/>
  <c r="E42" i="18"/>
  <c r="E132" i="18"/>
  <c r="E142" i="18"/>
  <c r="E130" i="18"/>
  <c r="E135" i="18"/>
  <c r="E39" i="18"/>
  <c r="E22" i="18"/>
  <c r="E139" i="18"/>
  <c r="E45" i="18"/>
  <c r="E47" i="18"/>
  <c r="E73" i="18"/>
  <c r="E40" i="18"/>
  <c r="E52" i="18"/>
  <c r="E77" i="18"/>
  <c r="E51" i="18"/>
  <c r="E11" i="18"/>
  <c r="E75" i="18"/>
  <c r="E43" i="18"/>
  <c r="E9" i="18"/>
  <c r="E19" i="18"/>
  <c r="E81" i="18"/>
  <c r="E48" i="18"/>
  <c r="E13" i="18"/>
  <c r="E69" i="18"/>
  <c r="E79" i="18"/>
  <c r="E44" i="18"/>
  <c r="E15" i="18"/>
  <c r="E76" i="18"/>
  <c r="E71" i="18"/>
  <c r="E16" i="18"/>
  <c r="E17" i="18"/>
  <c r="E14" i="18"/>
  <c r="E74" i="18"/>
  <c r="E8" i="18"/>
  <c r="E80" i="18"/>
  <c r="E18" i="18"/>
  <c r="E12" i="18"/>
  <c r="E82" i="18"/>
  <c r="E141" i="18"/>
  <c r="E49" i="18"/>
  <c r="E50" i="18"/>
  <c r="E134" i="18"/>
  <c r="E131" i="18"/>
  <c r="E21" i="18"/>
  <c r="E133" i="18"/>
  <c r="E137" i="18"/>
  <c r="E10" i="18"/>
  <c r="E140" i="18"/>
  <c r="E129" i="18"/>
  <c r="E78" i="18"/>
  <c r="E72" i="18"/>
  <c r="E20" i="18"/>
  <c r="E138" i="18"/>
  <c r="E70" i="18"/>
  <c r="E136" i="18"/>
  <c r="E101" i="18"/>
  <c r="E46" i="18"/>
  <c r="E99" i="18"/>
  <c r="E112" i="18"/>
  <c r="E103" i="18"/>
  <c r="E107" i="18"/>
  <c r="E111" i="18"/>
  <c r="E110" i="18"/>
  <c r="E98" i="18"/>
  <c r="E102" i="18"/>
  <c r="E106" i="18"/>
  <c r="E105" i="18"/>
  <c r="E104" i="18"/>
  <c r="E108" i="18"/>
  <c r="E109" i="18"/>
  <c r="B188" i="9"/>
  <c r="B173" i="9"/>
  <c r="B158" i="9"/>
  <c r="B143" i="9"/>
  <c r="B128" i="9"/>
  <c r="B113" i="9"/>
  <c r="B98" i="9"/>
  <c r="B83" i="9"/>
  <c r="B68" i="9"/>
  <c r="B53" i="9"/>
  <c r="B38" i="9"/>
  <c r="B43" i="9" s="1"/>
  <c r="B23" i="9"/>
  <c r="R92" i="15"/>
  <c r="R93" i="15"/>
  <c r="R94" i="15"/>
  <c r="R95" i="15"/>
  <c r="R96" i="15"/>
  <c r="I4" i="15"/>
  <c r="H4" i="4"/>
  <c r="P15" i="18" l="1"/>
  <c r="N15" i="18"/>
  <c r="M10" i="18"/>
  <c r="O10" i="18" s="1"/>
  <c r="M9" i="18"/>
  <c r="M8" i="18"/>
  <c r="P8" i="18" s="1"/>
  <c r="M12" i="18"/>
  <c r="Q12" i="18" s="1"/>
  <c r="M13" i="18"/>
  <c r="Q13" i="18" s="1"/>
  <c r="O22" i="18"/>
  <c r="O15" i="18"/>
  <c r="O25" i="18"/>
  <c r="Q25" i="18"/>
  <c r="N25" i="18"/>
  <c r="Q29" i="18"/>
  <c r="N22" i="18"/>
  <c r="Q22" i="18"/>
  <c r="N16" i="18"/>
  <c r="O29" i="18"/>
  <c r="N21" i="18"/>
  <c r="P14" i="18"/>
  <c r="N29" i="18"/>
  <c r="O19" i="18"/>
  <c r="Q21" i="18"/>
  <c r="P19" i="18"/>
  <c r="P18" i="18"/>
  <c r="O14" i="18"/>
  <c r="N19" i="18"/>
  <c r="P21" i="18"/>
  <c r="O16" i="18"/>
  <c r="Q20" i="18"/>
  <c r="O18" i="18"/>
  <c r="Q14" i="18"/>
  <c r="O20" i="18"/>
  <c r="N18" i="18"/>
  <c r="P16" i="18"/>
  <c r="P20" i="18"/>
  <c r="N27" i="18"/>
  <c r="P27" i="18"/>
  <c r="O27" i="18"/>
  <c r="Q27" i="18"/>
  <c r="P11" i="18"/>
  <c r="N11" i="18"/>
  <c r="Q11" i="18"/>
  <c r="O11" i="18"/>
  <c r="Q26" i="18"/>
  <c r="O26" i="18"/>
  <c r="N26" i="18"/>
  <c r="P26" i="18"/>
  <c r="O9" i="18"/>
  <c r="O24" i="18"/>
  <c r="N24" i="18"/>
  <c r="Q24" i="18"/>
  <c r="P24" i="18"/>
  <c r="Q28" i="18"/>
  <c r="N28" i="18"/>
  <c r="P28" i="18"/>
  <c r="O28" i="18"/>
  <c r="N23" i="18"/>
  <c r="Q23" i="18"/>
  <c r="P23" i="18"/>
  <c r="O23" i="18"/>
  <c r="N8" i="18"/>
  <c r="Q17" i="18"/>
  <c r="N17" i="18"/>
  <c r="P17" i="18"/>
  <c r="O17" i="18"/>
  <c r="G202" i="9"/>
  <c r="G201" i="9"/>
  <c r="G200" i="9"/>
  <c r="G199" i="9"/>
  <c r="G198" i="9"/>
  <c r="G197" i="9"/>
  <c r="G196" i="9"/>
  <c r="G195" i="9"/>
  <c r="G194" i="9"/>
  <c r="G193" i="9"/>
  <c r="G192" i="9"/>
  <c r="G191" i="9"/>
  <c r="G190" i="9"/>
  <c r="G189" i="9"/>
  <c r="G188" i="9"/>
  <c r="G187" i="9"/>
  <c r="G186" i="9"/>
  <c r="G185" i="9"/>
  <c r="G184" i="9"/>
  <c r="G183" i="9"/>
  <c r="G182" i="9"/>
  <c r="G181" i="9"/>
  <c r="G180" i="9"/>
  <c r="G179" i="9"/>
  <c r="G178" i="9"/>
  <c r="G177" i="9"/>
  <c r="G176" i="9"/>
  <c r="G175" i="9"/>
  <c r="G174" i="9"/>
  <c r="G173" i="9"/>
  <c r="G172" i="9"/>
  <c r="G171" i="9"/>
  <c r="G170" i="9"/>
  <c r="G169" i="9"/>
  <c r="G168" i="9"/>
  <c r="G167" i="9"/>
  <c r="G166" i="9"/>
  <c r="G165" i="9"/>
  <c r="G164" i="9"/>
  <c r="G163" i="9"/>
  <c r="G162" i="9"/>
  <c r="G161" i="9"/>
  <c r="G160" i="9"/>
  <c r="G159" i="9"/>
  <c r="G158" i="9"/>
  <c r="G157" i="9"/>
  <c r="G156" i="9"/>
  <c r="G155" i="9"/>
  <c r="G154" i="9"/>
  <c r="G153" i="9"/>
  <c r="G152" i="9"/>
  <c r="G151" i="9"/>
  <c r="G150" i="9"/>
  <c r="G149" i="9"/>
  <c r="G148" i="9"/>
  <c r="G147" i="9"/>
  <c r="G146" i="9"/>
  <c r="G145" i="9"/>
  <c r="G144" i="9"/>
  <c r="G143" i="9"/>
  <c r="G142" i="9"/>
  <c r="G141" i="9"/>
  <c r="G140" i="9"/>
  <c r="G139" i="9"/>
  <c r="G138" i="9"/>
  <c r="G137" i="9"/>
  <c r="G136" i="9"/>
  <c r="G135" i="9"/>
  <c r="G134" i="9"/>
  <c r="G133" i="9"/>
  <c r="G132" i="9"/>
  <c r="G131" i="9"/>
  <c r="G130" i="9"/>
  <c r="G129" i="9"/>
  <c r="G128" i="9"/>
  <c r="G127" i="9"/>
  <c r="G126" i="9"/>
  <c r="G125" i="9"/>
  <c r="G124" i="9"/>
  <c r="G123" i="9"/>
  <c r="G122" i="9"/>
  <c r="G121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11" i="1"/>
  <c r="B12" i="10"/>
  <c r="B177" i="11"/>
  <c r="B12" i="11"/>
  <c r="B12" i="12"/>
  <c r="B117" i="13"/>
  <c r="B12" i="13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102" i="14"/>
  <c r="B12" i="14"/>
  <c r="B9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177" i="10"/>
  <c r="B147" i="12"/>
  <c r="B117" i="12"/>
  <c r="B72" i="10"/>
  <c r="B42" i="10"/>
  <c r="B27" i="10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Q8" i="18" l="1"/>
  <c r="P10" i="18"/>
  <c r="Q10" i="18"/>
  <c r="N10" i="18"/>
  <c r="N12" i="18"/>
  <c r="O8" i="18"/>
  <c r="O12" i="18"/>
  <c r="P12" i="18"/>
  <c r="P13" i="18"/>
  <c r="N13" i="18"/>
  <c r="O13" i="18"/>
  <c r="N9" i="18"/>
  <c r="Q9" i="18"/>
  <c r="Q45" i="18" s="1" a="1"/>
  <c r="Q45" i="18" s="1"/>
  <c r="P9" i="18"/>
  <c r="B102" i="13"/>
  <c r="B102" i="11"/>
  <c r="B102" i="12"/>
  <c r="B132" i="11"/>
  <c r="B132" i="13"/>
  <c r="B132" i="14"/>
  <c r="B162" i="13"/>
  <c r="B162" i="11"/>
  <c r="B162" i="10"/>
  <c r="B162" i="14"/>
  <c r="B162" i="12"/>
  <c r="B132" i="10"/>
  <c r="B132" i="12"/>
  <c r="B102" i="10"/>
  <c r="B147" i="13"/>
  <c r="B117" i="11"/>
  <c r="B177" i="13"/>
  <c r="B147" i="11"/>
  <c r="B147" i="14"/>
  <c r="B177" i="12"/>
  <c r="B147" i="10"/>
  <c r="B117" i="14"/>
  <c r="B117" i="10"/>
  <c r="B177" i="14"/>
  <c r="B72" i="11"/>
  <c r="B42" i="14"/>
  <c r="B72" i="14"/>
  <c r="B27" i="13"/>
  <c r="B27" i="14"/>
  <c r="B42" i="13"/>
  <c r="B27" i="11"/>
  <c r="B72" i="13"/>
  <c r="B42" i="11"/>
  <c r="B57" i="10"/>
  <c r="B57" i="12"/>
  <c r="B57" i="11"/>
  <c r="B57" i="13"/>
  <c r="B57" i="14"/>
  <c r="B87" i="10"/>
  <c r="B87" i="12"/>
  <c r="B87" i="11"/>
  <c r="B87" i="13"/>
  <c r="B87" i="14"/>
  <c r="B42" i="12"/>
  <c r="B27" i="12"/>
  <c r="B72" i="12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5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1" i="15"/>
  <c r="A512" i="15"/>
  <c r="A513" i="15"/>
  <c r="A514" i="15"/>
  <c r="A515" i="15"/>
  <c r="A516" i="15"/>
  <c r="A517" i="15"/>
  <c r="A518" i="15"/>
  <c r="A519" i="15"/>
  <c r="A520" i="15"/>
  <c r="A521" i="15"/>
  <c r="A522" i="15"/>
  <c r="A523" i="15"/>
  <c r="A524" i="15"/>
  <c r="A525" i="15"/>
  <c r="A526" i="15"/>
  <c r="A527" i="15"/>
  <c r="A528" i="15"/>
  <c r="A529" i="15"/>
  <c r="A530" i="15"/>
  <c r="A531" i="15"/>
  <c r="A532" i="15"/>
  <c r="A533" i="15"/>
  <c r="A534" i="15"/>
  <c r="A535" i="15"/>
  <c r="A536" i="15"/>
  <c r="A537" i="15"/>
  <c r="A538" i="15"/>
  <c r="A539" i="15"/>
  <c r="A540" i="15"/>
  <c r="A541" i="15"/>
  <c r="A542" i="15"/>
  <c r="A543" i="15"/>
  <c r="A544" i="15"/>
  <c r="A545" i="15"/>
  <c r="A546" i="15"/>
  <c r="A547" i="15"/>
  <c r="A548" i="15"/>
  <c r="A549" i="15"/>
  <c r="A550" i="15"/>
  <c r="A551" i="15"/>
  <c r="A552" i="15"/>
  <c r="A553" i="15"/>
  <c r="A554" i="15"/>
  <c r="A555" i="15"/>
  <c r="A556" i="15"/>
  <c r="A557" i="15"/>
  <c r="A558" i="15"/>
  <c r="A559" i="15"/>
  <c r="A560" i="15"/>
  <c r="A561" i="15"/>
  <c r="A562" i="15"/>
  <c r="A563" i="15"/>
  <c r="A564" i="15"/>
  <c r="A565" i="15"/>
  <c r="A566" i="15"/>
  <c r="A567" i="15"/>
  <c r="A568" i="15"/>
  <c r="A569" i="15"/>
  <c r="A570" i="15"/>
  <c r="A571" i="15"/>
  <c r="A572" i="15"/>
  <c r="A573" i="15"/>
  <c r="A574" i="15"/>
  <c r="A575" i="15"/>
  <c r="A576" i="15"/>
  <c r="A577" i="15"/>
  <c r="A578" i="15"/>
  <c r="A579" i="15"/>
  <c r="A580" i="15"/>
  <c r="A581" i="15"/>
  <c r="A582" i="15"/>
  <c r="A583" i="15"/>
  <c r="A584" i="15"/>
  <c r="A585" i="15"/>
  <c r="A586" i="15"/>
  <c r="A587" i="15"/>
  <c r="A588" i="15"/>
  <c r="A589" i="15"/>
  <c r="A590" i="15"/>
  <c r="A591" i="15"/>
  <c r="A592" i="15"/>
  <c r="A593" i="15"/>
  <c r="A594" i="15"/>
  <c r="A595" i="15"/>
  <c r="A596" i="15"/>
  <c r="A597" i="15"/>
  <c r="A598" i="15"/>
  <c r="A599" i="15"/>
  <c r="A600" i="15"/>
  <c r="A601" i="15"/>
  <c r="A602" i="15"/>
  <c r="A603" i="15"/>
  <c r="A604" i="15"/>
  <c r="A605" i="15"/>
  <c r="A606" i="15"/>
  <c r="A607" i="15"/>
  <c r="A608" i="15"/>
  <c r="A609" i="15"/>
  <c r="A610" i="15"/>
  <c r="A611" i="15"/>
  <c r="A612" i="15"/>
  <c r="A613" i="15"/>
  <c r="A614" i="15"/>
  <c r="A615" i="15"/>
  <c r="A616" i="15"/>
  <c r="A617" i="15"/>
  <c r="A618" i="15"/>
  <c r="A619" i="15"/>
  <c r="A620" i="15"/>
  <c r="A621" i="15"/>
  <c r="A622" i="15"/>
  <c r="A623" i="15"/>
  <c r="A624" i="15"/>
  <c r="A625" i="15"/>
  <c r="A626" i="15"/>
  <c r="A627" i="15"/>
  <c r="A628" i="15"/>
  <c r="A629" i="15"/>
  <c r="A630" i="15"/>
  <c r="A631" i="15"/>
  <c r="A632" i="15"/>
  <c r="A633" i="15"/>
  <c r="A634" i="15"/>
  <c r="A635" i="15"/>
  <c r="A636" i="15"/>
  <c r="A637" i="15"/>
  <c r="A638" i="15"/>
  <c r="A639" i="15"/>
  <c r="A640" i="15"/>
  <c r="A641" i="15"/>
  <c r="A642" i="15"/>
  <c r="A643" i="15"/>
  <c r="A644" i="15"/>
  <c r="A645" i="15"/>
  <c r="A646" i="15"/>
  <c r="A647" i="15"/>
  <c r="A648" i="15"/>
  <c r="A649" i="15"/>
  <c r="A650" i="15"/>
  <c r="A651" i="15"/>
  <c r="A652" i="15"/>
  <c r="A653" i="15"/>
  <c r="A654" i="15"/>
  <c r="A655" i="15"/>
  <c r="A656" i="15"/>
  <c r="A657" i="15"/>
  <c r="A658" i="15"/>
  <c r="A659" i="15"/>
  <c r="A660" i="15"/>
  <c r="A661" i="15"/>
  <c r="A662" i="15"/>
  <c r="A663" i="15"/>
  <c r="A664" i="15"/>
  <c r="A665" i="15"/>
  <c r="A666" i="15"/>
  <c r="A667" i="15"/>
  <c r="A668" i="15"/>
  <c r="A669" i="15"/>
  <c r="A670" i="15"/>
  <c r="A671" i="15"/>
  <c r="A672" i="15"/>
  <c r="A673" i="15"/>
  <c r="A674" i="15"/>
  <c r="A675" i="15"/>
  <c r="A676" i="15"/>
  <c r="A677" i="15"/>
  <c r="A678" i="15"/>
  <c r="A679" i="15"/>
  <c r="A680" i="15"/>
  <c r="A681" i="15"/>
  <c r="A682" i="15"/>
  <c r="A683" i="15"/>
  <c r="A684" i="15"/>
  <c r="A685" i="15"/>
  <c r="A686" i="15"/>
  <c r="A687" i="15"/>
  <c r="A688" i="15"/>
  <c r="A689" i="15"/>
  <c r="A690" i="15"/>
  <c r="A691" i="15"/>
  <c r="A692" i="15"/>
  <c r="A693" i="15"/>
  <c r="A694" i="15"/>
  <c r="A695" i="15"/>
  <c r="A696" i="15"/>
  <c r="A697" i="15"/>
  <c r="A698" i="15"/>
  <c r="A699" i="15"/>
  <c r="A700" i="15"/>
  <c r="A701" i="15"/>
  <c r="A702" i="15"/>
  <c r="A703" i="15"/>
  <c r="A704" i="15"/>
  <c r="A705" i="15"/>
  <c r="A706" i="15"/>
  <c r="A707" i="15"/>
  <c r="A708" i="15"/>
  <c r="A709" i="15"/>
  <c r="A710" i="15"/>
  <c r="A711" i="15"/>
  <c r="A712" i="15"/>
  <c r="A713" i="15"/>
  <c r="A714" i="15"/>
  <c r="A715" i="15"/>
  <c r="A716" i="15"/>
  <c r="A717" i="15"/>
  <c r="A718" i="15"/>
  <c r="A719" i="15"/>
  <c r="A720" i="15"/>
  <c r="A721" i="15"/>
  <c r="A722" i="15"/>
  <c r="A723" i="15"/>
  <c r="A724" i="15"/>
  <c r="A725" i="15"/>
  <c r="A726" i="15"/>
  <c r="A727" i="15"/>
  <c r="A728" i="15"/>
  <c r="A729" i="15"/>
  <c r="A730" i="15"/>
  <c r="A731" i="15"/>
  <c r="A732" i="15"/>
  <c r="A733" i="15"/>
  <c r="A734" i="15"/>
  <c r="A735" i="15"/>
  <c r="A736" i="15"/>
  <c r="A737" i="15"/>
  <c r="A738" i="15"/>
  <c r="A739" i="15"/>
  <c r="A740" i="15"/>
  <c r="A741" i="15"/>
  <c r="A742" i="15"/>
  <c r="A743" i="15"/>
  <c r="A744" i="15"/>
  <c r="A745" i="15"/>
  <c r="A746" i="15"/>
  <c r="A747" i="15"/>
  <c r="A748" i="15"/>
  <c r="A749" i="15"/>
  <c r="A750" i="15"/>
  <c r="A751" i="15"/>
  <c r="A752" i="15"/>
  <c r="A753" i="15"/>
  <c r="A754" i="15"/>
  <c r="A755" i="15"/>
  <c r="A756" i="15"/>
  <c r="A757" i="15"/>
  <c r="A758" i="15"/>
  <c r="A759" i="15"/>
  <c r="A760" i="15"/>
  <c r="A761" i="15"/>
  <c r="A762" i="15"/>
  <c r="A763" i="15"/>
  <c r="A764" i="15"/>
  <c r="A765" i="15"/>
  <c r="A766" i="15"/>
  <c r="A767" i="15"/>
  <c r="A768" i="15"/>
  <c r="A769" i="15"/>
  <c r="A770" i="15"/>
  <c r="A771" i="15"/>
  <c r="A772" i="15"/>
  <c r="A773" i="15"/>
  <c r="A774" i="15"/>
  <c r="A775" i="15"/>
  <c r="A776" i="15"/>
  <c r="A777" i="15"/>
  <c r="A778" i="15"/>
  <c r="A779" i="15"/>
  <c r="A780" i="15"/>
  <c r="A781" i="15"/>
  <c r="A782" i="15"/>
  <c r="A783" i="15"/>
  <c r="A784" i="15"/>
  <c r="A785" i="15"/>
  <c r="A786" i="15"/>
  <c r="A787" i="15"/>
  <c r="A788" i="15"/>
  <c r="A789" i="15"/>
  <c r="A790" i="15"/>
  <c r="A791" i="15"/>
  <c r="A792" i="15"/>
  <c r="A793" i="15"/>
  <c r="A794" i="15"/>
  <c r="A795" i="15"/>
  <c r="A796" i="15"/>
  <c r="A797" i="15"/>
  <c r="A798" i="15"/>
  <c r="A799" i="15"/>
  <c r="A800" i="15"/>
  <c r="A801" i="15"/>
  <c r="A802" i="15"/>
  <c r="A803" i="15"/>
  <c r="A804" i="15"/>
  <c r="A805" i="15"/>
  <c r="A806" i="15"/>
  <c r="A807" i="15"/>
  <c r="A808" i="15"/>
  <c r="A809" i="15"/>
  <c r="A810" i="15"/>
  <c r="A811" i="15"/>
  <c r="A812" i="15"/>
  <c r="A813" i="15"/>
  <c r="A814" i="15"/>
  <c r="A815" i="15"/>
  <c r="A816" i="15"/>
  <c r="A817" i="15"/>
  <c r="A818" i="15"/>
  <c r="A819" i="15"/>
  <c r="A820" i="15"/>
  <c r="A821" i="15"/>
  <c r="A822" i="15"/>
  <c r="A823" i="15"/>
  <c r="A824" i="15"/>
  <c r="A825" i="15"/>
  <c r="A826" i="15"/>
  <c r="A827" i="15"/>
  <c r="A828" i="15"/>
  <c r="A829" i="15"/>
  <c r="A830" i="15"/>
  <c r="A831" i="15"/>
  <c r="A832" i="15"/>
  <c r="A833" i="15"/>
  <c r="A834" i="15"/>
  <c r="A835" i="15"/>
  <c r="A836" i="15"/>
  <c r="A837" i="15"/>
  <c r="A838" i="15"/>
  <c r="A839" i="15"/>
  <c r="A840" i="15"/>
  <c r="A841" i="15"/>
  <c r="A842" i="15"/>
  <c r="A843" i="15"/>
  <c r="A844" i="15"/>
  <c r="A845" i="15"/>
  <c r="A846" i="15"/>
  <c r="A847" i="15"/>
  <c r="A848" i="15"/>
  <c r="A849" i="15"/>
  <c r="A850" i="15"/>
  <c r="A851" i="15"/>
  <c r="A852" i="15"/>
  <c r="A853" i="15"/>
  <c r="A854" i="15"/>
  <c r="A855" i="15"/>
  <c r="A856" i="15"/>
  <c r="A857" i="15"/>
  <c r="A858" i="15"/>
  <c r="A859" i="15"/>
  <c r="A860" i="15"/>
  <c r="A861" i="15"/>
  <c r="A862" i="15"/>
  <c r="A863" i="15"/>
  <c r="A864" i="15"/>
  <c r="A865" i="15"/>
  <c r="A866" i="15"/>
  <c r="A867" i="15"/>
  <c r="A868" i="15"/>
  <c r="A869" i="15"/>
  <c r="A870" i="15"/>
  <c r="A871" i="15"/>
  <c r="A872" i="15"/>
  <c r="A873" i="15"/>
  <c r="A874" i="15"/>
  <c r="A875" i="15"/>
  <c r="A876" i="15"/>
  <c r="A877" i="15"/>
  <c r="A878" i="15"/>
  <c r="A879" i="15"/>
  <c r="A880" i="15"/>
  <c r="A881" i="15"/>
  <c r="A882" i="15"/>
  <c r="A883" i="15"/>
  <c r="A884" i="15"/>
  <c r="A885" i="15"/>
  <c r="A886" i="15"/>
  <c r="A887" i="15"/>
  <c r="A888" i="15"/>
  <c r="A889" i="15"/>
  <c r="A890" i="15"/>
  <c r="A891" i="15"/>
  <c r="A892" i="15"/>
  <c r="A893" i="15"/>
  <c r="A894" i="15"/>
  <c r="A895" i="15"/>
  <c r="A896" i="15"/>
  <c r="A897" i="15"/>
  <c r="A898" i="15"/>
  <c r="A899" i="15"/>
  <c r="A900" i="15"/>
  <c r="A901" i="15"/>
  <c r="A902" i="15"/>
  <c r="A903" i="15"/>
  <c r="A904" i="15"/>
  <c r="A905" i="15"/>
  <c r="A906" i="15"/>
  <c r="A907" i="15"/>
  <c r="AG7" i="15"/>
  <c r="N6" i="9"/>
  <c r="N7" i="9"/>
  <c r="N8" i="9"/>
  <c r="N9" i="9"/>
  <c r="N5" i="9"/>
  <c r="AB6" i="15"/>
  <c r="AC6" i="15"/>
  <c r="AB7" i="15"/>
  <c r="AC7" i="15"/>
  <c r="AB8" i="15"/>
  <c r="AC8" i="15"/>
  <c r="AB9" i="15"/>
  <c r="AC9" i="15"/>
  <c r="AC5" i="15"/>
  <c r="AB5" i="15"/>
  <c r="J5" i="9"/>
  <c r="K5" i="9"/>
  <c r="J6" i="9"/>
  <c r="K6" i="9"/>
  <c r="J7" i="9"/>
  <c r="K7" i="9"/>
  <c r="J8" i="9"/>
  <c r="K8" i="9"/>
  <c r="I5" i="9"/>
  <c r="I6" i="9"/>
  <c r="I7" i="9"/>
  <c r="I8" i="9"/>
  <c r="I4" i="9"/>
  <c r="J4" i="9"/>
  <c r="K4" i="9"/>
  <c r="J5" i="1"/>
  <c r="K5" i="1"/>
  <c r="J6" i="1"/>
  <c r="K6" i="1"/>
  <c r="J7" i="1"/>
  <c r="K7" i="1"/>
  <c r="J8" i="1"/>
  <c r="K8" i="1"/>
  <c r="K4" i="1"/>
  <c r="J4" i="1"/>
  <c r="O33" i="18" l="1" a="1"/>
  <c r="O33" i="18" s="1"/>
  <c r="O34" i="18" a="1"/>
  <c r="O34" i="18" s="1"/>
  <c r="O42" i="18" a="1"/>
  <c r="O42" i="18" s="1"/>
  <c r="O74" i="18" s="1"/>
  <c r="O39" i="18" a="1"/>
  <c r="O39" i="18" s="1"/>
  <c r="O71" i="18" s="1"/>
  <c r="I51" i="3" s="1"/>
  <c r="O46" i="18" a="1"/>
  <c r="O46" i="18" s="1"/>
  <c r="O36" i="18" a="1"/>
  <c r="O36" i="18" s="1"/>
  <c r="O68" i="18" s="1"/>
  <c r="I48" i="3" s="1"/>
  <c r="O41" i="18" a="1"/>
  <c r="O41" i="18" s="1"/>
  <c r="O73" i="18" s="1"/>
  <c r="O43" i="18" a="1"/>
  <c r="O43" i="18" s="1"/>
  <c r="O75" i="18" s="1"/>
  <c r="O44" i="18" a="1"/>
  <c r="O44" i="18" s="1"/>
  <c r="Q47" i="18" a="1"/>
  <c r="Q47" i="18" s="1"/>
  <c r="Q35" i="18" a="1"/>
  <c r="Q35" i="18" s="1"/>
  <c r="Q67" i="18" s="1"/>
  <c r="I64" i="3" s="1"/>
  <c r="O35" i="18" a="1"/>
  <c r="O35" i="18" s="1"/>
  <c r="O52" i="18" s="1"/>
  <c r="C47" i="3" s="1"/>
  <c r="O38" i="18" a="1"/>
  <c r="O38" i="18" s="1"/>
  <c r="O55" i="18" s="1"/>
  <c r="C50" i="3" s="1"/>
  <c r="Q36" i="18" a="1"/>
  <c r="Q36" i="18" s="1"/>
  <c r="Q68" i="18" s="1"/>
  <c r="I65" i="3" s="1"/>
  <c r="O37" i="18" a="1"/>
  <c r="O37" i="18" s="1"/>
  <c r="O54" i="18" s="1"/>
  <c r="C49" i="3" s="1"/>
  <c r="O32" i="18" a="1"/>
  <c r="O32" i="18" s="1"/>
  <c r="O64" i="18" s="1"/>
  <c r="I44" i="3" s="1"/>
  <c r="O40" i="18" a="1"/>
  <c r="O40" i="18" s="1"/>
  <c r="O72" i="18" s="1"/>
  <c r="I52" i="3" s="1"/>
  <c r="P42" i="18" a="1"/>
  <c r="P42" i="18" s="1"/>
  <c r="P59" i="18" s="1"/>
  <c r="O45" i="18" a="1"/>
  <c r="O45" i="18" s="1"/>
  <c r="Q39" i="18" a="1"/>
  <c r="Q39" i="18" s="1"/>
  <c r="Q56" i="18" s="1"/>
  <c r="C68" i="3" s="1"/>
  <c r="Q34" i="18" a="1"/>
  <c r="Q34" i="18" s="1"/>
  <c r="Q51" i="18" s="1"/>
  <c r="C63" i="3" s="1"/>
  <c r="Q42" i="18" a="1"/>
  <c r="Q42" i="18" s="1"/>
  <c r="Q74" i="18" s="1"/>
  <c r="Q43" i="18" a="1"/>
  <c r="Q43" i="18" s="1"/>
  <c r="Q60" i="18" s="1"/>
  <c r="Q32" i="18" a="1"/>
  <c r="Q32" i="18" s="1"/>
  <c r="Q64" i="18" s="1"/>
  <c r="I61" i="3" s="1"/>
  <c r="Q41" i="18" a="1"/>
  <c r="Q41" i="18" s="1"/>
  <c r="Q73" i="18" s="1"/>
  <c r="Q37" i="18" a="1"/>
  <c r="Q37" i="18" s="1"/>
  <c r="Q54" i="18" s="1"/>
  <c r="C66" i="3" s="1"/>
  <c r="Q40" i="18" a="1"/>
  <c r="Q40" i="18" s="1"/>
  <c r="Q57" i="18" s="1"/>
  <c r="P43" i="18" a="1"/>
  <c r="P43" i="18" s="1"/>
  <c r="P60" i="18" s="1"/>
  <c r="Q44" i="18" a="1"/>
  <c r="Q44" i="18" s="1"/>
  <c r="P35" i="18" a="1"/>
  <c r="P35" i="18" s="1"/>
  <c r="P67" i="18" s="1"/>
  <c r="I56" i="3" s="1"/>
  <c r="P37" i="18" a="1"/>
  <c r="P37" i="18" s="1"/>
  <c r="P69" i="18" s="1"/>
  <c r="I58" i="3" s="1"/>
  <c r="P40" i="18" a="1"/>
  <c r="P40" i="18" s="1"/>
  <c r="P57" i="18" s="1"/>
  <c r="P33" i="18" a="1"/>
  <c r="P33" i="18" s="1"/>
  <c r="P65" i="18" s="1"/>
  <c r="I54" i="3" s="1"/>
  <c r="P36" i="18" a="1"/>
  <c r="P36" i="18" s="1"/>
  <c r="P53" i="18" s="1"/>
  <c r="C57" i="3" s="1"/>
  <c r="P46" i="18" a="1"/>
  <c r="P46" i="18" s="1"/>
  <c r="P39" i="18" a="1"/>
  <c r="P39" i="18" s="1"/>
  <c r="P71" i="18" s="1"/>
  <c r="I60" i="3" s="1"/>
  <c r="P32" i="18" a="1"/>
  <c r="P32" i="18" s="1"/>
  <c r="P49" i="18" s="1"/>
  <c r="C53" i="3" s="1"/>
  <c r="P44" i="18" a="1"/>
  <c r="P44" i="18" s="1"/>
  <c r="Q33" i="18" a="1"/>
  <c r="Q33" i="18" s="1"/>
  <c r="Q65" i="18" s="1"/>
  <c r="I62" i="3" s="1"/>
  <c r="P45" i="18" a="1"/>
  <c r="P45" i="18" s="1"/>
  <c r="P34" i="18" a="1"/>
  <c r="P34" i="18" s="1"/>
  <c r="P51" i="18" s="1"/>
  <c r="C55" i="3" s="1"/>
  <c r="Q46" i="18" a="1"/>
  <c r="Q46" i="18" s="1"/>
  <c r="P38" i="18" a="1"/>
  <c r="P38" i="18" s="1"/>
  <c r="P55" i="18" s="1"/>
  <c r="C59" i="3" s="1"/>
  <c r="Q38" i="18" a="1"/>
  <c r="Q38" i="18" s="1"/>
  <c r="Q70" i="18" s="1"/>
  <c r="I67" i="3" s="1"/>
  <c r="P41" i="18" a="1"/>
  <c r="P41" i="18" s="1"/>
  <c r="P58" i="18" s="1"/>
  <c r="Q52" i="18"/>
  <c r="C64" i="3" s="1"/>
  <c r="O51" i="18"/>
  <c r="C46" i="3" s="1"/>
  <c r="O66" i="18"/>
  <c r="I46" i="3" s="1"/>
  <c r="O65" i="18"/>
  <c r="I45" i="3" s="1"/>
  <c r="O50" i="18"/>
  <c r="C45" i="3" s="1"/>
  <c r="AH5" i="15"/>
  <c r="AH9" i="15"/>
  <c r="AG8" i="15"/>
  <c r="AG6" i="15"/>
  <c r="AH8" i="15"/>
  <c r="AH6" i="15"/>
  <c r="AG5" i="15"/>
  <c r="AH7" i="15"/>
  <c r="AG9" i="15"/>
  <c r="Q2" i="9"/>
  <c r="P2" i="9"/>
  <c r="L24" i="9"/>
  <c r="C728" i="15"/>
  <c r="C729" i="15"/>
  <c r="C730" i="15"/>
  <c r="C731" i="15"/>
  <c r="C732" i="15"/>
  <c r="C733" i="15"/>
  <c r="C734" i="15"/>
  <c r="C735" i="15"/>
  <c r="C736" i="15"/>
  <c r="C737" i="15"/>
  <c r="C738" i="15"/>
  <c r="C739" i="15"/>
  <c r="C740" i="15"/>
  <c r="C741" i="15"/>
  <c r="C742" i="15"/>
  <c r="C743" i="15"/>
  <c r="C744" i="15"/>
  <c r="C745" i="15"/>
  <c r="C746" i="15"/>
  <c r="C747" i="15"/>
  <c r="C748" i="15"/>
  <c r="C749" i="15"/>
  <c r="C750" i="15"/>
  <c r="C751" i="15"/>
  <c r="C752" i="15"/>
  <c r="C753" i="15"/>
  <c r="C754" i="15"/>
  <c r="C755" i="15"/>
  <c r="C756" i="15"/>
  <c r="C757" i="15"/>
  <c r="C758" i="15"/>
  <c r="C759" i="15"/>
  <c r="C760" i="15"/>
  <c r="C761" i="15"/>
  <c r="C762" i="15"/>
  <c r="C763" i="15"/>
  <c r="C764" i="15"/>
  <c r="C765" i="15"/>
  <c r="C766" i="15"/>
  <c r="C767" i="15"/>
  <c r="C768" i="15"/>
  <c r="C769" i="15"/>
  <c r="C770" i="15"/>
  <c r="C771" i="15"/>
  <c r="C772" i="15"/>
  <c r="C773" i="15"/>
  <c r="C774" i="15"/>
  <c r="C775" i="15"/>
  <c r="C776" i="15"/>
  <c r="C777" i="15"/>
  <c r="C778" i="15"/>
  <c r="C779" i="15"/>
  <c r="C780" i="15"/>
  <c r="C781" i="15"/>
  <c r="C782" i="15"/>
  <c r="C783" i="15"/>
  <c r="C784" i="15"/>
  <c r="C785" i="15"/>
  <c r="C786" i="15"/>
  <c r="C787" i="15"/>
  <c r="C788" i="15"/>
  <c r="C789" i="15"/>
  <c r="C790" i="15"/>
  <c r="C791" i="15"/>
  <c r="C792" i="15"/>
  <c r="C793" i="15"/>
  <c r="C794" i="15"/>
  <c r="C795" i="15"/>
  <c r="C796" i="15"/>
  <c r="C797" i="15"/>
  <c r="C798" i="15"/>
  <c r="C799" i="15"/>
  <c r="C800" i="15"/>
  <c r="C801" i="15"/>
  <c r="C802" i="15"/>
  <c r="C803" i="15"/>
  <c r="C804" i="15"/>
  <c r="C805" i="15"/>
  <c r="C806" i="15"/>
  <c r="C807" i="15"/>
  <c r="C808" i="15"/>
  <c r="C809" i="15"/>
  <c r="C810" i="15"/>
  <c r="C811" i="15"/>
  <c r="C812" i="15"/>
  <c r="C813" i="15"/>
  <c r="C814" i="15"/>
  <c r="C815" i="15"/>
  <c r="C816" i="15"/>
  <c r="C817" i="15"/>
  <c r="C818" i="15"/>
  <c r="C819" i="15"/>
  <c r="C820" i="15"/>
  <c r="C821" i="15"/>
  <c r="C822" i="15"/>
  <c r="C823" i="15"/>
  <c r="C824" i="15"/>
  <c r="C825" i="15"/>
  <c r="C826" i="15"/>
  <c r="C827" i="15"/>
  <c r="C828" i="15"/>
  <c r="C829" i="15"/>
  <c r="C830" i="15"/>
  <c r="C831" i="15"/>
  <c r="C832" i="15"/>
  <c r="C833" i="15"/>
  <c r="C834" i="15"/>
  <c r="C835" i="15"/>
  <c r="C836" i="15"/>
  <c r="C837" i="15"/>
  <c r="C838" i="15"/>
  <c r="C839" i="15"/>
  <c r="C840" i="15"/>
  <c r="C841" i="15"/>
  <c r="C842" i="15"/>
  <c r="C843" i="15"/>
  <c r="C844" i="15"/>
  <c r="C845" i="15"/>
  <c r="C846" i="15"/>
  <c r="C847" i="15"/>
  <c r="C848" i="15"/>
  <c r="C849" i="15"/>
  <c r="C850" i="15"/>
  <c r="C851" i="15"/>
  <c r="C852" i="15"/>
  <c r="C853" i="15"/>
  <c r="C854" i="15"/>
  <c r="C855" i="15"/>
  <c r="C856" i="15"/>
  <c r="C857" i="15"/>
  <c r="C858" i="15"/>
  <c r="C859" i="15"/>
  <c r="C860" i="15"/>
  <c r="C861" i="15"/>
  <c r="C862" i="15"/>
  <c r="C863" i="15"/>
  <c r="C864" i="15"/>
  <c r="C865" i="15"/>
  <c r="C866" i="15"/>
  <c r="C867" i="15"/>
  <c r="C868" i="15"/>
  <c r="C869" i="15"/>
  <c r="C870" i="15"/>
  <c r="C871" i="15"/>
  <c r="C872" i="15"/>
  <c r="C873" i="15"/>
  <c r="C874" i="15"/>
  <c r="C875" i="15"/>
  <c r="C876" i="15"/>
  <c r="C877" i="15"/>
  <c r="C878" i="15"/>
  <c r="C879" i="15"/>
  <c r="C880" i="15"/>
  <c r="C881" i="15"/>
  <c r="C882" i="15"/>
  <c r="C883" i="15"/>
  <c r="C884" i="15"/>
  <c r="C885" i="15"/>
  <c r="C886" i="15"/>
  <c r="C887" i="15"/>
  <c r="C888" i="15"/>
  <c r="C889" i="15"/>
  <c r="C890" i="15"/>
  <c r="C891" i="15"/>
  <c r="C892" i="15"/>
  <c r="C893" i="15"/>
  <c r="C894" i="15"/>
  <c r="C895" i="15"/>
  <c r="C896" i="15"/>
  <c r="C897" i="15"/>
  <c r="C898" i="15"/>
  <c r="C899" i="15"/>
  <c r="C900" i="15"/>
  <c r="C901" i="15"/>
  <c r="C902" i="15"/>
  <c r="C903" i="15"/>
  <c r="C904" i="15"/>
  <c r="C905" i="15"/>
  <c r="C906" i="15"/>
  <c r="C907" i="15"/>
  <c r="B729" i="15"/>
  <c r="B730" i="15"/>
  <c r="B731" i="15"/>
  <c r="B732" i="15"/>
  <c r="B733" i="15"/>
  <c r="B734" i="15"/>
  <c r="B735" i="15"/>
  <c r="B736" i="15"/>
  <c r="B737" i="15"/>
  <c r="B738" i="15"/>
  <c r="B739" i="15"/>
  <c r="B740" i="15"/>
  <c r="B741" i="15"/>
  <c r="B742" i="15"/>
  <c r="B743" i="15"/>
  <c r="B744" i="15"/>
  <c r="B745" i="15"/>
  <c r="B746" i="15"/>
  <c r="B747" i="15"/>
  <c r="B748" i="15"/>
  <c r="B749" i="15"/>
  <c r="B750" i="15"/>
  <c r="B751" i="15"/>
  <c r="B752" i="15"/>
  <c r="B753" i="15"/>
  <c r="B754" i="15"/>
  <c r="B755" i="15"/>
  <c r="B756" i="15"/>
  <c r="B757" i="15"/>
  <c r="B758" i="15"/>
  <c r="B759" i="15"/>
  <c r="B760" i="15"/>
  <c r="B761" i="15"/>
  <c r="B762" i="15"/>
  <c r="B763" i="15"/>
  <c r="B764" i="15"/>
  <c r="B765" i="15"/>
  <c r="B766" i="15"/>
  <c r="B767" i="15"/>
  <c r="B768" i="15"/>
  <c r="B769" i="15"/>
  <c r="B770" i="15"/>
  <c r="B771" i="15"/>
  <c r="B772" i="15"/>
  <c r="B773" i="15"/>
  <c r="B774" i="15"/>
  <c r="B775" i="15"/>
  <c r="B776" i="15"/>
  <c r="B777" i="15"/>
  <c r="B778" i="15"/>
  <c r="B779" i="15"/>
  <c r="B780" i="15"/>
  <c r="B781" i="15"/>
  <c r="B782" i="15"/>
  <c r="B783" i="15"/>
  <c r="B784" i="15"/>
  <c r="B785" i="15"/>
  <c r="B786" i="15"/>
  <c r="B787" i="15"/>
  <c r="B788" i="15"/>
  <c r="B789" i="15"/>
  <c r="B790" i="15"/>
  <c r="B791" i="15"/>
  <c r="B792" i="15"/>
  <c r="B793" i="15"/>
  <c r="B794" i="15"/>
  <c r="B795" i="15"/>
  <c r="B796" i="15"/>
  <c r="B797" i="15"/>
  <c r="B798" i="15"/>
  <c r="B799" i="15"/>
  <c r="B800" i="15"/>
  <c r="B801" i="15"/>
  <c r="B802" i="15"/>
  <c r="B803" i="15"/>
  <c r="B804" i="15"/>
  <c r="B805" i="15"/>
  <c r="B806" i="15"/>
  <c r="B807" i="15"/>
  <c r="B808" i="15"/>
  <c r="B809" i="15"/>
  <c r="B810" i="15"/>
  <c r="B811" i="15"/>
  <c r="B812" i="15"/>
  <c r="B813" i="15"/>
  <c r="B814" i="15"/>
  <c r="B815" i="15"/>
  <c r="B816" i="15"/>
  <c r="B817" i="15"/>
  <c r="B818" i="15"/>
  <c r="B819" i="15"/>
  <c r="B820" i="15"/>
  <c r="B821" i="15"/>
  <c r="B822" i="15"/>
  <c r="B823" i="15"/>
  <c r="B824" i="15"/>
  <c r="B825" i="15"/>
  <c r="B826" i="15"/>
  <c r="B827" i="15"/>
  <c r="B828" i="15"/>
  <c r="B829" i="15"/>
  <c r="B830" i="15"/>
  <c r="B831" i="15"/>
  <c r="B832" i="15"/>
  <c r="B833" i="15"/>
  <c r="B834" i="15"/>
  <c r="B835" i="15"/>
  <c r="B836" i="15"/>
  <c r="B837" i="15"/>
  <c r="B838" i="15"/>
  <c r="B839" i="15"/>
  <c r="B840" i="15"/>
  <c r="B841" i="15"/>
  <c r="B842" i="15"/>
  <c r="B843" i="15"/>
  <c r="B844" i="15"/>
  <c r="B845" i="15"/>
  <c r="B846" i="15"/>
  <c r="B847" i="15"/>
  <c r="B848" i="15"/>
  <c r="B849" i="15"/>
  <c r="B850" i="15"/>
  <c r="B851" i="15"/>
  <c r="B852" i="15"/>
  <c r="B853" i="15"/>
  <c r="B854" i="15"/>
  <c r="B855" i="15"/>
  <c r="B856" i="15"/>
  <c r="B857" i="15"/>
  <c r="B858" i="15"/>
  <c r="B859" i="15"/>
  <c r="B860" i="15"/>
  <c r="B861" i="15"/>
  <c r="B862" i="15"/>
  <c r="B863" i="15"/>
  <c r="B864" i="15"/>
  <c r="B865" i="15"/>
  <c r="B866" i="15"/>
  <c r="B867" i="15"/>
  <c r="B868" i="15"/>
  <c r="B869" i="15"/>
  <c r="B870" i="15"/>
  <c r="B871" i="15"/>
  <c r="B872" i="15"/>
  <c r="B873" i="15"/>
  <c r="B874" i="15"/>
  <c r="B875" i="15"/>
  <c r="B876" i="15"/>
  <c r="B877" i="15"/>
  <c r="B878" i="15"/>
  <c r="B879" i="15"/>
  <c r="B880" i="15"/>
  <c r="B881" i="15"/>
  <c r="B882" i="15"/>
  <c r="B883" i="15"/>
  <c r="B884" i="15"/>
  <c r="B885" i="15"/>
  <c r="B886" i="15"/>
  <c r="B887" i="15"/>
  <c r="B888" i="15"/>
  <c r="B889" i="15"/>
  <c r="B890" i="15"/>
  <c r="B891" i="15"/>
  <c r="B892" i="15"/>
  <c r="B893" i="15"/>
  <c r="B894" i="15"/>
  <c r="B895" i="15"/>
  <c r="B896" i="15"/>
  <c r="B897" i="15"/>
  <c r="B898" i="15"/>
  <c r="B899" i="15"/>
  <c r="B900" i="15"/>
  <c r="B901" i="15"/>
  <c r="B902" i="15"/>
  <c r="B903" i="15"/>
  <c r="B904" i="15"/>
  <c r="B905" i="15"/>
  <c r="B906" i="15"/>
  <c r="B907" i="15"/>
  <c r="B728" i="15"/>
  <c r="C548" i="15"/>
  <c r="C549" i="15"/>
  <c r="C550" i="15"/>
  <c r="C551" i="15"/>
  <c r="C552" i="15"/>
  <c r="C553" i="15"/>
  <c r="C554" i="15"/>
  <c r="C555" i="15"/>
  <c r="C556" i="15"/>
  <c r="C557" i="15"/>
  <c r="C558" i="15"/>
  <c r="C559" i="15"/>
  <c r="C560" i="15"/>
  <c r="C561" i="15"/>
  <c r="C562" i="15"/>
  <c r="C563" i="15"/>
  <c r="C564" i="15"/>
  <c r="C565" i="15"/>
  <c r="C566" i="15"/>
  <c r="C567" i="15"/>
  <c r="C568" i="15"/>
  <c r="C569" i="15"/>
  <c r="C570" i="15"/>
  <c r="C571" i="15"/>
  <c r="C572" i="15"/>
  <c r="C573" i="15"/>
  <c r="C574" i="15"/>
  <c r="C575" i="15"/>
  <c r="C576" i="15"/>
  <c r="C577" i="15"/>
  <c r="C578" i="15"/>
  <c r="C579" i="15"/>
  <c r="C580" i="15"/>
  <c r="C581" i="15"/>
  <c r="C582" i="15"/>
  <c r="C583" i="15"/>
  <c r="C584" i="15"/>
  <c r="C585" i="15"/>
  <c r="C586" i="15"/>
  <c r="C587" i="15"/>
  <c r="C588" i="15"/>
  <c r="C589" i="15"/>
  <c r="C590" i="15"/>
  <c r="C591" i="15"/>
  <c r="C592" i="15"/>
  <c r="C593" i="15"/>
  <c r="C594" i="15"/>
  <c r="C595" i="15"/>
  <c r="C596" i="15"/>
  <c r="C597" i="15"/>
  <c r="C598" i="15"/>
  <c r="C599" i="15"/>
  <c r="C600" i="15"/>
  <c r="C601" i="15"/>
  <c r="C602" i="15"/>
  <c r="C603" i="15"/>
  <c r="C604" i="15"/>
  <c r="C605" i="15"/>
  <c r="C606" i="15"/>
  <c r="C607" i="15"/>
  <c r="C608" i="15"/>
  <c r="C609" i="15"/>
  <c r="C610" i="15"/>
  <c r="C611" i="15"/>
  <c r="C612" i="15"/>
  <c r="C613" i="15"/>
  <c r="C614" i="15"/>
  <c r="C615" i="15"/>
  <c r="C616" i="15"/>
  <c r="C617" i="15"/>
  <c r="C618" i="15"/>
  <c r="C619" i="15"/>
  <c r="C620" i="15"/>
  <c r="C621" i="15"/>
  <c r="C622" i="15"/>
  <c r="C623" i="15"/>
  <c r="C624" i="15"/>
  <c r="C625" i="15"/>
  <c r="C626" i="15"/>
  <c r="C627" i="15"/>
  <c r="C628" i="15"/>
  <c r="C629" i="15"/>
  <c r="C630" i="15"/>
  <c r="C631" i="15"/>
  <c r="C632" i="15"/>
  <c r="C633" i="15"/>
  <c r="C634" i="15"/>
  <c r="C635" i="15"/>
  <c r="C636" i="15"/>
  <c r="C637" i="15"/>
  <c r="C638" i="15"/>
  <c r="C639" i="15"/>
  <c r="C640" i="15"/>
  <c r="C641" i="15"/>
  <c r="C642" i="15"/>
  <c r="C643" i="15"/>
  <c r="C644" i="15"/>
  <c r="C645" i="15"/>
  <c r="C646" i="15"/>
  <c r="C647" i="15"/>
  <c r="C648" i="15"/>
  <c r="C649" i="15"/>
  <c r="C650" i="15"/>
  <c r="C651" i="15"/>
  <c r="C652" i="15"/>
  <c r="C653" i="15"/>
  <c r="C654" i="15"/>
  <c r="C655" i="15"/>
  <c r="C656" i="15"/>
  <c r="C657" i="15"/>
  <c r="C658" i="15"/>
  <c r="C659" i="15"/>
  <c r="C660" i="15"/>
  <c r="C661" i="15"/>
  <c r="C662" i="15"/>
  <c r="C663" i="15"/>
  <c r="C664" i="15"/>
  <c r="C665" i="15"/>
  <c r="C666" i="15"/>
  <c r="C667" i="15"/>
  <c r="C668" i="15"/>
  <c r="C669" i="15"/>
  <c r="C670" i="15"/>
  <c r="C671" i="15"/>
  <c r="C672" i="15"/>
  <c r="C673" i="15"/>
  <c r="C674" i="15"/>
  <c r="C675" i="15"/>
  <c r="C676" i="15"/>
  <c r="C677" i="15"/>
  <c r="C678" i="15"/>
  <c r="C679" i="15"/>
  <c r="C680" i="15"/>
  <c r="C681" i="15"/>
  <c r="C682" i="15"/>
  <c r="C683" i="15"/>
  <c r="C684" i="15"/>
  <c r="C685" i="15"/>
  <c r="C686" i="15"/>
  <c r="C687" i="15"/>
  <c r="C688" i="15"/>
  <c r="C689" i="15"/>
  <c r="C690" i="15"/>
  <c r="C691" i="15"/>
  <c r="C692" i="15"/>
  <c r="C693" i="15"/>
  <c r="C694" i="15"/>
  <c r="C695" i="15"/>
  <c r="C696" i="15"/>
  <c r="C697" i="15"/>
  <c r="C698" i="15"/>
  <c r="C699" i="15"/>
  <c r="C700" i="15"/>
  <c r="C701" i="15"/>
  <c r="C702" i="15"/>
  <c r="C703" i="15"/>
  <c r="C704" i="15"/>
  <c r="C705" i="15"/>
  <c r="C706" i="15"/>
  <c r="C707" i="15"/>
  <c r="C708" i="15"/>
  <c r="C709" i="15"/>
  <c r="C710" i="15"/>
  <c r="C711" i="15"/>
  <c r="C712" i="15"/>
  <c r="C713" i="15"/>
  <c r="C714" i="15"/>
  <c r="C715" i="15"/>
  <c r="C716" i="15"/>
  <c r="C717" i="15"/>
  <c r="C718" i="15"/>
  <c r="C719" i="15"/>
  <c r="C720" i="15"/>
  <c r="C721" i="15"/>
  <c r="C722" i="15"/>
  <c r="C723" i="15"/>
  <c r="C724" i="15"/>
  <c r="C725" i="15"/>
  <c r="C726" i="15"/>
  <c r="C727" i="15"/>
  <c r="B549" i="15"/>
  <c r="B550" i="15"/>
  <c r="B551" i="15"/>
  <c r="B552" i="15"/>
  <c r="B553" i="15"/>
  <c r="B554" i="15"/>
  <c r="B555" i="15"/>
  <c r="B556" i="15"/>
  <c r="B557" i="15"/>
  <c r="B558" i="15"/>
  <c r="B559" i="15"/>
  <c r="B560" i="15"/>
  <c r="B561" i="15"/>
  <c r="B562" i="15"/>
  <c r="B563" i="15"/>
  <c r="B564" i="15"/>
  <c r="B565" i="15"/>
  <c r="B566" i="15"/>
  <c r="B567" i="15"/>
  <c r="B568" i="15"/>
  <c r="B569" i="15"/>
  <c r="B570" i="15"/>
  <c r="B571" i="15"/>
  <c r="B572" i="15"/>
  <c r="B573" i="15"/>
  <c r="B574" i="15"/>
  <c r="B575" i="15"/>
  <c r="B576" i="15"/>
  <c r="B577" i="15"/>
  <c r="B578" i="15"/>
  <c r="B579" i="15"/>
  <c r="B580" i="15"/>
  <c r="B581" i="15"/>
  <c r="B582" i="15"/>
  <c r="B583" i="15"/>
  <c r="B584" i="15"/>
  <c r="B585" i="15"/>
  <c r="B586" i="15"/>
  <c r="B587" i="15"/>
  <c r="B588" i="15"/>
  <c r="B589" i="15"/>
  <c r="B590" i="15"/>
  <c r="B591" i="15"/>
  <c r="B592" i="15"/>
  <c r="B593" i="15"/>
  <c r="B594" i="15"/>
  <c r="B595" i="15"/>
  <c r="B596" i="15"/>
  <c r="B597" i="15"/>
  <c r="B598" i="15"/>
  <c r="B599" i="15"/>
  <c r="B600" i="15"/>
  <c r="B601" i="15"/>
  <c r="B602" i="15"/>
  <c r="B603" i="15"/>
  <c r="B604" i="15"/>
  <c r="B605" i="15"/>
  <c r="B606" i="15"/>
  <c r="B607" i="15"/>
  <c r="B608" i="15"/>
  <c r="B609" i="15"/>
  <c r="B610" i="15"/>
  <c r="B611" i="15"/>
  <c r="B612" i="15"/>
  <c r="B613" i="15"/>
  <c r="B614" i="15"/>
  <c r="B615" i="15"/>
  <c r="B616" i="15"/>
  <c r="B617" i="15"/>
  <c r="B618" i="15"/>
  <c r="B619" i="15"/>
  <c r="B620" i="15"/>
  <c r="B621" i="15"/>
  <c r="B622" i="15"/>
  <c r="B623" i="15"/>
  <c r="B624" i="15"/>
  <c r="B625" i="15"/>
  <c r="B626" i="15"/>
  <c r="B627" i="15"/>
  <c r="B628" i="15"/>
  <c r="B629" i="15"/>
  <c r="B630" i="15"/>
  <c r="B631" i="15"/>
  <c r="B632" i="15"/>
  <c r="B633" i="15"/>
  <c r="B634" i="15"/>
  <c r="B635" i="15"/>
  <c r="B636" i="15"/>
  <c r="B637" i="15"/>
  <c r="B638" i="15"/>
  <c r="B639" i="15"/>
  <c r="B640" i="15"/>
  <c r="B641" i="15"/>
  <c r="B642" i="15"/>
  <c r="B643" i="15"/>
  <c r="B644" i="15"/>
  <c r="B645" i="15"/>
  <c r="B646" i="15"/>
  <c r="B647" i="15"/>
  <c r="B648" i="15"/>
  <c r="B649" i="15"/>
  <c r="B650" i="15"/>
  <c r="B651" i="15"/>
  <c r="B652" i="15"/>
  <c r="B653" i="15"/>
  <c r="B654" i="15"/>
  <c r="B655" i="15"/>
  <c r="B656" i="15"/>
  <c r="B657" i="15"/>
  <c r="B658" i="15"/>
  <c r="B659" i="15"/>
  <c r="B660" i="15"/>
  <c r="B661" i="15"/>
  <c r="B662" i="15"/>
  <c r="B663" i="15"/>
  <c r="B664" i="15"/>
  <c r="B665" i="15"/>
  <c r="B666" i="15"/>
  <c r="B667" i="15"/>
  <c r="B668" i="15"/>
  <c r="B669" i="15"/>
  <c r="B670" i="15"/>
  <c r="B671" i="15"/>
  <c r="B672" i="15"/>
  <c r="B673" i="15"/>
  <c r="B674" i="15"/>
  <c r="B675" i="15"/>
  <c r="B676" i="15"/>
  <c r="B677" i="15"/>
  <c r="B678" i="15"/>
  <c r="B679" i="15"/>
  <c r="B680" i="15"/>
  <c r="B681" i="15"/>
  <c r="B682" i="15"/>
  <c r="B683" i="15"/>
  <c r="B684" i="15"/>
  <c r="B685" i="15"/>
  <c r="B686" i="15"/>
  <c r="B687" i="15"/>
  <c r="B688" i="15"/>
  <c r="B689" i="15"/>
  <c r="B690" i="15"/>
  <c r="B691" i="15"/>
  <c r="B692" i="15"/>
  <c r="B693" i="15"/>
  <c r="B694" i="15"/>
  <c r="B695" i="15"/>
  <c r="B696" i="15"/>
  <c r="B697" i="15"/>
  <c r="B698" i="15"/>
  <c r="B699" i="15"/>
  <c r="B700" i="15"/>
  <c r="B701" i="15"/>
  <c r="B702" i="15"/>
  <c r="B703" i="15"/>
  <c r="B704" i="15"/>
  <c r="B705" i="15"/>
  <c r="B706" i="15"/>
  <c r="B707" i="15"/>
  <c r="B708" i="15"/>
  <c r="B709" i="15"/>
  <c r="B710" i="15"/>
  <c r="B711" i="15"/>
  <c r="B712" i="15"/>
  <c r="B713" i="15"/>
  <c r="B714" i="15"/>
  <c r="B715" i="15"/>
  <c r="B716" i="15"/>
  <c r="B717" i="15"/>
  <c r="B718" i="15"/>
  <c r="B719" i="15"/>
  <c r="B720" i="15"/>
  <c r="B721" i="15"/>
  <c r="B722" i="15"/>
  <c r="B723" i="15"/>
  <c r="B724" i="15"/>
  <c r="B725" i="15"/>
  <c r="B726" i="15"/>
  <c r="B727" i="15"/>
  <c r="B548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399" i="15"/>
  <c r="C400" i="15"/>
  <c r="C401" i="15"/>
  <c r="C402" i="15"/>
  <c r="C403" i="15"/>
  <c r="C404" i="15"/>
  <c r="C405" i="15"/>
  <c r="C406" i="15"/>
  <c r="C407" i="15"/>
  <c r="C408" i="15"/>
  <c r="C409" i="15"/>
  <c r="C410" i="15"/>
  <c r="C411" i="15"/>
  <c r="C412" i="15"/>
  <c r="C413" i="15"/>
  <c r="C414" i="15"/>
  <c r="C415" i="15"/>
  <c r="C416" i="15"/>
  <c r="C417" i="15"/>
  <c r="C418" i="15"/>
  <c r="C419" i="15"/>
  <c r="C420" i="15"/>
  <c r="C421" i="15"/>
  <c r="C422" i="15"/>
  <c r="C423" i="15"/>
  <c r="C424" i="15"/>
  <c r="C425" i="15"/>
  <c r="C426" i="15"/>
  <c r="C427" i="15"/>
  <c r="C428" i="15"/>
  <c r="C429" i="15"/>
  <c r="C430" i="15"/>
  <c r="C431" i="15"/>
  <c r="C432" i="15"/>
  <c r="C433" i="15"/>
  <c r="C434" i="15"/>
  <c r="C435" i="15"/>
  <c r="C436" i="15"/>
  <c r="C437" i="15"/>
  <c r="C438" i="15"/>
  <c r="C439" i="15"/>
  <c r="C440" i="15"/>
  <c r="C441" i="15"/>
  <c r="C442" i="15"/>
  <c r="C443" i="15"/>
  <c r="C444" i="15"/>
  <c r="C445" i="15"/>
  <c r="C446" i="15"/>
  <c r="C447" i="15"/>
  <c r="C448" i="15"/>
  <c r="C449" i="15"/>
  <c r="C450" i="15"/>
  <c r="C451" i="15"/>
  <c r="C452" i="15"/>
  <c r="C453" i="15"/>
  <c r="C454" i="15"/>
  <c r="C455" i="15"/>
  <c r="C456" i="15"/>
  <c r="C457" i="15"/>
  <c r="C458" i="15"/>
  <c r="C459" i="15"/>
  <c r="C460" i="15"/>
  <c r="C461" i="15"/>
  <c r="C462" i="15"/>
  <c r="C463" i="15"/>
  <c r="C464" i="15"/>
  <c r="C465" i="15"/>
  <c r="C466" i="15"/>
  <c r="C467" i="15"/>
  <c r="C468" i="15"/>
  <c r="C469" i="15"/>
  <c r="C470" i="15"/>
  <c r="C471" i="15"/>
  <c r="C472" i="15"/>
  <c r="C473" i="15"/>
  <c r="C474" i="15"/>
  <c r="C475" i="15"/>
  <c r="C476" i="15"/>
  <c r="C477" i="15"/>
  <c r="C478" i="15"/>
  <c r="C479" i="15"/>
  <c r="C480" i="15"/>
  <c r="C481" i="15"/>
  <c r="C482" i="15"/>
  <c r="C483" i="15"/>
  <c r="C484" i="15"/>
  <c r="C485" i="15"/>
  <c r="C486" i="15"/>
  <c r="C487" i="15"/>
  <c r="C488" i="15"/>
  <c r="C489" i="15"/>
  <c r="C490" i="15"/>
  <c r="C491" i="15"/>
  <c r="C492" i="15"/>
  <c r="C493" i="15"/>
  <c r="C494" i="15"/>
  <c r="C495" i="15"/>
  <c r="C496" i="15"/>
  <c r="C497" i="15"/>
  <c r="C498" i="15"/>
  <c r="C499" i="15"/>
  <c r="C500" i="15"/>
  <c r="C501" i="15"/>
  <c r="C502" i="15"/>
  <c r="C503" i="15"/>
  <c r="C504" i="15"/>
  <c r="C505" i="15"/>
  <c r="C506" i="15"/>
  <c r="C507" i="15"/>
  <c r="C508" i="15"/>
  <c r="C509" i="15"/>
  <c r="C510" i="15"/>
  <c r="C511" i="15"/>
  <c r="C512" i="15"/>
  <c r="C513" i="15"/>
  <c r="C514" i="15"/>
  <c r="C515" i="15"/>
  <c r="C516" i="15"/>
  <c r="C517" i="15"/>
  <c r="C518" i="15"/>
  <c r="C519" i="15"/>
  <c r="C520" i="15"/>
  <c r="C521" i="15"/>
  <c r="C522" i="15"/>
  <c r="C523" i="15"/>
  <c r="C524" i="15"/>
  <c r="C525" i="15"/>
  <c r="C526" i="15"/>
  <c r="C527" i="15"/>
  <c r="C528" i="15"/>
  <c r="C529" i="15"/>
  <c r="C530" i="15"/>
  <c r="C531" i="15"/>
  <c r="C532" i="15"/>
  <c r="C533" i="15"/>
  <c r="C534" i="15"/>
  <c r="C535" i="15"/>
  <c r="C536" i="15"/>
  <c r="C537" i="15"/>
  <c r="C538" i="15"/>
  <c r="C539" i="15"/>
  <c r="C540" i="15"/>
  <c r="C541" i="15"/>
  <c r="C542" i="15"/>
  <c r="C543" i="15"/>
  <c r="C544" i="15"/>
  <c r="C545" i="15"/>
  <c r="C546" i="15"/>
  <c r="C547" i="15"/>
  <c r="B369" i="15"/>
  <c r="B370" i="15"/>
  <c r="B371" i="15"/>
  <c r="B372" i="15"/>
  <c r="B373" i="15"/>
  <c r="B374" i="15"/>
  <c r="B375" i="15"/>
  <c r="B376" i="15"/>
  <c r="B377" i="15"/>
  <c r="B378" i="15"/>
  <c r="B379" i="15"/>
  <c r="B380" i="15"/>
  <c r="B381" i="15"/>
  <c r="B382" i="15"/>
  <c r="B383" i="15"/>
  <c r="B384" i="15"/>
  <c r="B385" i="15"/>
  <c r="B386" i="15"/>
  <c r="B387" i="15"/>
  <c r="B388" i="15"/>
  <c r="B389" i="15"/>
  <c r="B390" i="15"/>
  <c r="B391" i="15"/>
  <c r="B392" i="15"/>
  <c r="B393" i="15"/>
  <c r="B394" i="15"/>
  <c r="B395" i="15"/>
  <c r="B396" i="15"/>
  <c r="B397" i="15"/>
  <c r="B398" i="15"/>
  <c r="B399" i="15"/>
  <c r="B400" i="15"/>
  <c r="B401" i="15"/>
  <c r="B402" i="15"/>
  <c r="B403" i="15"/>
  <c r="B404" i="15"/>
  <c r="B405" i="15"/>
  <c r="B406" i="15"/>
  <c r="B407" i="15"/>
  <c r="B408" i="15"/>
  <c r="B409" i="15"/>
  <c r="B410" i="15"/>
  <c r="B411" i="15"/>
  <c r="B412" i="15"/>
  <c r="B413" i="15"/>
  <c r="B414" i="15"/>
  <c r="B415" i="15"/>
  <c r="B416" i="15"/>
  <c r="B417" i="15"/>
  <c r="B418" i="15"/>
  <c r="B419" i="15"/>
  <c r="B420" i="15"/>
  <c r="B421" i="15"/>
  <c r="B422" i="15"/>
  <c r="B423" i="15"/>
  <c r="B424" i="15"/>
  <c r="B425" i="15"/>
  <c r="B426" i="15"/>
  <c r="B427" i="15"/>
  <c r="B428" i="15"/>
  <c r="B429" i="15"/>
  <c r="B430" i="15"/>
  <c r="B431" i="15"/>
  <c r="B432" i="15"/>
  <c r="B433" i="15"/>
  <c r="B434" i="15"/>
  <c r="B435" i="15"/>
  <c r="B436" i="15"/>
  <c r="B437" i="15"/>
  <c r="B438" i="15"/>
  <c r="B439" i="15"/>
  <c r="B440" i="15"/>
  <c r="B441" i="15"/>
  <c r="B442" i="15"/>
  <c r="B443" i="15"/>
  <c r="B444" i="15"/>
  <c r="B445" i="15"/>
  <c r="B446" i="15"/>
  <c r="B447" i="15"/>
  <c r="B448" i="15"/>
  <c r="B449" i="15"/>
  <c r="B450" i="15"/>
  <c r="B451" i="15"/>
  <c r="B452" i="15"/>
  <c r="B453" i="15"/>
  <c r="B454" i="15"/>
  <c r="B455" i="15"/>
  <c r="B456" i="15"/>
  <c r="B457" i="15"/>
  <c r="B458" i="15"/>
  <c r="B459" i="15"/>
  <c r="B460" i="15"/>
  <c r="B461" i="15"/>
  <c r="B462" i="15"/>
  <c r="B463" i="15"/>
  <c r="B464" i="15"/>
  <c r="B465" i="15"/>
  <c r="B466" i="15"/>
  <c r="B467" i="15"/>
  <c r="B468" i="15"/>
  <c r="B469" i="15"/>
  <c r="B470" i="15"/>
  <c r="B471" i="15"/>
  <c r="B472" i="15"/>
  <c r="B473" i="15"/>
  <c r="B474" i="15"/>
  <c r="B475" i="15"/>
  <c r="B476" i="15"/>
  <c r="B477" i="15"/>
  <c r="B478" i="15"/>
  <c r="B479" i="15"/>
  <c r="B480" i="15"/>
  <c r="B481" i="15"/>
  <c r="B482" i="15"/>
  <c r="B483" i="15"/>
  <c r="B484" i="15"/>
  <c r="B485" i="15"/>
  <c r="B486" i="15"/>
  <c r="B487" i="15"/>
  <c r="B488" i="15"/>
  <c r="B489" i="15"/>
  <c r="B490" i="15"/>
  <c r="B491" i="15"/>
  <c r="B492" i="15"/>
  <c r="B493" i="15"/>
  <c r="B494" i="15"/>
  <c r="B495" i="15"/>
  <c r="B496" i="15"/>
  <c r="B497" i="15"/>
  <c r="B498" i="15"/>
  <c r="B499" i="15"/>
  <c r="B500" i="15"/>
  <c r="B501" i="15"/>
  <c r="B502" i="15"/>
  <c r="B503" i="15"/>
  <c r="B504" i="15"/>
  <c r="B505" i="15"/>
  <c r="B506" i="15"/>
  <c r="B507" i="15"/>
  <c r="B508" i="15"/>
  <c r="B509" i="15"/>
  <c r="B510" i="15"/>
  <c r="B511" i="15"/>
  <c r="B512" i="15"/>
  <c r="B513" i="15"/>
  <c r="B514" i="15"/>
  <c r="B515" i="15"/>
  <c r="B516" i="15"/>
  <c r="B517" i="15"/>
  <c r="B518" i="15"/>
  <c r="B519" i="15"/>
  <c r="B520" i="15"/>
  <c r="B521" i="15"/>
  <c r="B522" i="15"/>
  <c r="B523" i="15"/>
  <c r="B524" i="15"/>
  <c r="B525" i="15"/>
  <c r="B526" i="15"/>
  <c r="B527" i="15"/>
  <c r="B528" i="15"/>
  <c r="B529" i="15"/>
  <c r="B530" i="15"/>
  <c r="B531" i="15"/>
  <c r="B532" i="15"/>
  <c r="B533" i="15"/>
  <c r="B534" i="15"/>
  <c r="B535" i="15"/>
  <c r="B536" i="15"/>
  <c r="B537" i="15"/>
  <c r="B538" i="15"/>
  <c r="B539" i="15"/>
  <c r="B540" i="15"/>
  <c r="B541" i="15"/>
  <c r="B542" i="15"/>
  <c r="B543" i="15"/>
  <c r="B544" i="15"/>
  <c r="B545" i="15"/>
  <c r="B546" i="15"/>
  <c r="B547" i="15"/>
  <c r="B368" i="15"/>
  <c r="B303" i="15"/>
  <c r="C303" i="15"/>
  <c r="B304" i="15"/>
  <c r="C304" i="15"/>
  <c r="B305" i="15"/>
  <c r="C305" i="15"/>
  <c r="B306" i="15"/>
  <c r="C306" i="15"/>
  <c r="B307" i="15"/>
  <c r="C307" i="15"/>
  <c r="B308" i="15"/>
  <c r="C308" i="15"/>
  <c r="B309" i="15"/>
  <c r="C309" i="15"/>
  <c r="B310" i="15"/>
  <c r="C310" i="15"/>
  <c r="B311" i="15"/>
  <c r="C311" i="15"/>
  <c r="B312" i="15"/>
  <c r="C312" i="15"/>
  <c r="B313" i="15"/>
  <c r="C313" i="15"/>
  <c r="B314" i="15"/>
  <c r="C314" i="15"/>
  <c r="B315" i="15"/>
  <c r="C315" i="15"/>
  <c r="B316" i="15"/>
  <c r="C316" i="15"/>
  <c r="B317" i="15"/>
  <c r="C317" i="15"/>
  <c r="B318" i="15"/>
  <c r="C318" i="15"/>
  <c r="B319" i="15"/>
  <c r="C319" i="15"/>
  <c r="B320" i="15"/>
  <c r="C320" i="15"/>
  <c r="B321" i="15"/>
  <c r="C321" i="15"/>
  <c r="B322" i="15"/>
  <c r="C322" i="15"/>
  <c r="B323" i="15"/>
  <c r="C323" i="15"/>
  <c r="B324" i="15"/>
  <c r="C324" i="15"/>
  <c r="B325" i="15"/>
  <c r="C325" i="15"/>
  <c r="B326" i="15"/>
  <c r="C326" i="15"/>
  <c r="B327" i="15"/>
  <c r="C327" i="15"/>
  <c r="B328" i="15"/>
  <c r="C328" i="15"/>
  <c r="B329" i="15"/>
  <c r="C329" i="15"/>
  <c r="B330" i="15"/>
  <c r="C330" i="15"/>
  <c r="B331" i="15"/>
  <c r="C331" i="15"/>
  <c r="B332" i="15"/>
  <c r="C332" i="15"/>
  <c r="B333" i="15"/>
  <c r="C333" i="15"/>
  <c r="B334" i="15"/>
  <c r="C334" i="15"/>
  <c r="B335" i="15"/>
  <c r="C335" i="15"/>
  <c r="B336" i="15"/>
  <c r="C336" i="15"/>
  <c r="B337" i="15"/>
  <c r="C337" i="15"/>
  <c r="B338" i="15"/>
  <c r="C338" i="15"/>
  <c r="B339" i="15"/>
  <c r="C339" i="15"/>
  <c r="B340" i="15"/>
  <c r="C340" i="15"/>
  <c r="B341" i="15"/>
  <c r="C341" i="15"/>
  <c r="B342" i="15"/>
  <c r="C342" i="15"/>
  <c r="B343" i="15"/>
  <c r="C343" i="15"/>
  <c r="B344" i="15"/>
  <c r="C344" i="15"/>
  <c r="B345" i="15"/>
  <c r="C345" i="15"/>
  <c r="B346" i="15"/>
  <c r="C346" i="15"/>
  <c r="B347" i="15"/>
  <c r="C347" i="15"/>
  <c r="B348" i="15"/>
  <c r="C348" i="15"/>
  <c r="B349" i="15"/>
  <c r="C349" i="15"/>
  <c r="B350" i="15"/>
  <c r="C350" i="15"/>
  <c r="B351" i="15"/>
  <c r="C351" i="15"/>
  <c r="B352" i="15"/>
  <c r="C352" i="15"/>
  <c r="B353" i="15"/>
  <c r="C353" i="15"/>
  <c r="B354" i="15"/>
  <c r="C354" i="15"/>
  <c r="B355" i="15"/>
  <c r="C355" i="15"/>
  <c r="B356" i="15"/>
  <c r="C356" i="15"/>
  <c r="B357" i="15"/>
  <c r="C357" i="15"/>
  <c r="B358" i="15"/>
  <c r="C358" i="15"/>
  <c r="B359" i="15"/>
  <c r="C359" i="15"/>
  <c r="B360" i="15"/>
  <c r="C360" i="15"/>
  <c r="B361" i="15"/>
  <c r="C361" i="15"/>
  <c r="B362" i="15"/>
  <c r="C362" i="15"/>
  <c r="B363" i="15"/>
  <c r="C363" i="15"/>
  <c r="B364" i="15"/>
  <c r="C364" i="15"/>
  <c r="B365" i="15"/>
  <c r="C365" i="15"/>
  <c r="B366" i="15"/>
  <c r="C366" i="15"/>
  <c r="B367" i="15"/>
  <c r="C367" i="15"/>
  <c r="B232" i="15"/>
  <c r="C232" i="15"/>
  <c r="B233" i="15"/>
  <c r="C233" i="15"/>
  <c r="B234" i="15"/>
  <c r="C234" i="15"/>
  <c r="B235" i="15"/>
  <c r="C235" i="15"/>
  <c r="B236" i="15"/>
  <c r="C236" i="15"/>
  <c r="B237" i="15"/>
  <c r="C237" i="15"/>
  <c r="B238" i="15"/>
  <c r="C238" i="15"/>
  <c r="B239" i="15"/>
  <c r="C239" i="15"/>
  <c r="B240" i="15"/>
  <c r="C240" i="15"/>
  <c r="B241" i="15"/>
  <c r="C241" i="15"/>
  <c r="B242" i="15"/>
  <c r="C242" i="15"/>
  <c r="B243" i="15"/>
  <c r="C243" i="15"/>
  <c r="B244" i="15"/>
  <c r="C244" i="15"/>
  <c r="B245" i="15"/>
  <c r="C245" i="15"/>
  <c r="B246" i="15"/>
  <c r="C246" i="15"/>
  <c r="B247" i="15"/>
  <c r="C247" i="15"/>
  <c r="B248" i="15"/>
  <c r="C248" i="15"/>
  <c r="B249" i="15"/>
  <c r="C249" i="15"/>
  <c r="B250" i="15"/>
  <c r="C250" i="15"/>
  <c r="B251" i="15"/>
  <c r="C251" i="15"/>
  <c r="B252" i="15"/>
  <c r="C252" i="15"/>
  <c r="B253" i="15"/>
  <c r="C253" i="15"/>
  <c r="B254" i="15"/>
  <c r="C254" i="15"/>
  <c r="B255" i="15"/>
  <c r="C255" i="15"/>
  <c r="B256" i="15"/>
  <c r="C256" i="15"/>
  <c r="B257" i="15"/>
  <c r="C257" i="15"/>
  <c r="B258" i="15"/>
  <c r="C258" i="15"/>
  <c r="B259" i="15"/>
  <c r="C259" i="15"/>
  <c r="B260" i="15"/>
  <c r="C260" i="15"/>
  <c r="B261" i="15"/>
  <c r="C261" i="15"/>
  <c r="B262" i="15"/>
  <c r="C262" i="15"/>
  <c r="B263" i="15"/>
  <c r="C263" i="15"/>
  <c r="B264" i="15"/>
  <c r="C264" i="15"/>
  <c r="B265" i="15"/>
  <c r="C265" i="15"/>
  <c r="B266" i="15"/>
  <c r="C266" i="15"/>
  <c r="B267" i="15"/>
  <c r="C267" i="15"/>
  <c r="B268" i="15"/>
  <c r="C268" i="15"/>
  <c r="B269" i="15"/>
  <c r="C269" i="15"/>
  <c r="B270" i="15"/>
  <c r="C270" i="15"/>
  <c r="B271" i="15"/>
  <c r="C271" i="15"/>
  <c r="B272" i="15"/>
  <c r="C272" i="15"/>
  <c r="B273" i="15"/>
  <c r="C273" i="15"/>
  <c r="B274" i="15"/>
  <c r="C274" i="15"/>
  <c r="B275" i="15"/>
  <c r="C275" i="15"/>
  <c r="B276" i="15"/>
  <c r="C276" i="15"/>
  <c r="B277" i="15"/>
  <c r="C277" i="15"/>
  <c r="B278" i="15"/>
  <c r="C278" i="15"/>
  <c r="B279" i="15"/>
  <c r="C279" i="15"/>
  <c r="B280" i="15"/>
  <c r="C280" i="15"/>
  <c r="B281" i="15"/>
  <c r="C281" i="15"/>
  <c r="B282" i="15"/>
  <c r="C282" i="15"/>
  <c r="B283" i="15"/>
  <c r="C283" i="15"/>
  <c r="B284" i="15"/>
  <c r="C284" i="15"/>
  <c r="B285" i="15"/>
  <c r="C285" i="15"/>
  <c r="B286" i="15"/>
  <c r="C286" i="15"/>
  <c r="B287" i="15"/>
  <c r="C287" i="15"/>
  <c r="B288" i="15"/>
  <c r="C288" i="15"/>
  <c r="B289" i="15"/>
  <c r="C289" i="15"/>
  <c r="B290" i="15"/>
  <c r="C290" i="15"/>
  <c r="B291" i="15"/>
  <c r="C291" i="15"/>
  <c r="B292" i="15"/>
  <c r="C292" i="15"/>
  <c r="B293" i="15"/>
  <c r="C293" i="15"/>
  <c r="B294" i="15"/>
  <c r="C294" i="15"/>
  <c r="B295" i="15"/>
  <c r="C295" i="15"/>
  <c r="B296" i="15"/>
  <c r="C296" i="15"/>
  <c r="B297" i="15"/>
  <c r="C297" i="15"/>
  <c r="B298" i="15"/>
  <c r="C298" i="15"/>
  <c r="B299" i="15"/>
  <c r="C299" i="15"/>
  <c r="B300" i="15"/>
  <c r="C300" i="15"/>
  <c r="B301" i="15"/>
  <c r="C301" i="15"/>
  <c r="B302" i="15"/>
  <c r="C302" i="15"/>
  <c r="B189" i="15"/>
  <c r="C189" i="15"/>
  <c r="B190" i="15"/>
  <c r="C190" i="15"/>
  <c r="B191" i="15"/>
  <c r="C191" i="15"/>
  <c r="B192" i="15"/>
  <c r="C192" i="15"/>
  <c r="B193" i="15"/>
  <c r="C193" i="15"/>
  <c r="B194" i="15"/>
  <c r="C194" i="15"/>
  <c r="B195" i="15"/>
  <c r="C195" i="15"/>
  <c r="B196" i="15"/>
  <c r="C196" i="15"/>
  <c r="B197" i="15"/>
  <c r="C197" i="15"/>
  <c r="B198" i="15"/>
  <c r="C198" i="15"/>
  <c r="B199" i="15"/>
  <c r="C199" i="15"/>
  <c r="B200" i="15"/>
  <c r="C200" i="15"/>
  <c r="B201" i="15"/>
  <c r="C201" i="15"/>
  <c r="B202" i="15"/>
  <c r="C202" i="15"/>
  <c r="B203" i="15"/>
  <c r="C203" i="15"/>
  <c r="B204" i="15"/>
  <c r="C204" i="15"/>
  <c r="B205" i="15"/>
  <c r="C205" i="15"/>
  <c r="B206" i="15"/>
  <c r="C206" i="15"/>
  <c r="B207" i="15"/>
  <c r="C207" i="15"/>
  <c r="B208" i="15"/>
  <c r="C208" i="15"/>
  <c r="B209" i="15"/>
  <c r="C209" i="15"/>
  <c r="B210" i="15"/>
  <c r="C210" i="15"/>
  <c r="B211" i="15"/>
  <c r="C211" i="15"/>
  <c r="B212" i="15"/>
  <c r="C212" i="15"/>
  <c r="B213" i="15"/>
  <c r="C213" i="15"/>
  <c r="B214" i="15"/>
  <c r="C214" i="15"/>
  <c r="B215" i="15"/>
  <c r="C215" i="15"/>
  <c r="B216" i="15"/>
  <c r="C216" i="15"/>
  <c r="B217" i="15"/>
  <c r="C217" i="15"/>
  <c r="B218" i="15"/>
  <c r="C218" i="15"/>
  <c r="B219" i="15"/>
  <c r="C219" i="15"/>
  <c r="B220" i="15"/>
  <c r="C220" i="15"/>
  <c r="B221" i="15"/>
  <c r="C221" i="15"/>
  <c r="B222" i="15"/>
  <c r="C222" i="15"/>
  <c r="B223" i="15"/>
  <c r="C223" i="15"/>
  <c r="B224" i="15"/>
  <c r="C224" i="15"/>
  <c r="B225" i="15"/>
  <c r="C225" i="15"/>
  <c r="B226" i="15"/>
  <c r="C226" i="15"/>
  <c r="B227" i="15"/>
  <c r="C227" i="15"/>
  <c r="B228" i="15"/>
  <c r="C228" i="15"/>
  <c r="B229" i="15"/>
  <c r="C229" i="15"/>
  <c r="B230" i="15"/>
  <c r="C230" i="15"/>
  <c r="B231" i="15"/>
  <c r="C231" i="15"/>
  <c r="C188" i="15"/>
  <c r="B188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20" i="15"/>
  <c r="B121" i="15"/>
  <c r="B122" i="15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94" i="15"/>
  <c r="B95" i="15"/>
  <c r="B96" i="15"/>
  <c r="B97" i="15"/>
  <c r="B98" i="15"/>
  <c r="B99" i="15"/>
  <c r="B100" i="15"/>
  <c r="B101" i="15"/>
  <c r="B102" i="15"/>
  <c r="B103" i="15"/>
  <c r="B104" i="15"/>
  <c r="B105" i="15"/>
  <c r="B106" i="15"/>
  <c r="B107" i="15"/>
  <c r="B108" i="15"/>
  <c r="B109" i="15"/>
  <c r="B110" i="15"/>
  <c r="B111" i="15"/>
  <c r="B112" i="15"/>
  <c r="B113" i="15"/>
  <c r="B114" i="15"/>
  <c r="B115" i="15"/>
  <c r="B116" i="15"/>
  <c r="B117" i="15"/>
  <c r="B118" i="15"/>
  <c r="B119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8" i="15"/>
  <c r="E191" i="13"/>
  <c r="D191" i="13"/>
  <c r="C191" i="13"/>
  <c r="E190" i="13"/>
  <c r="D190" i="13"/>
  <c r="C190" i="13"/>
  <c r="E189" i="13"/>
  <c r="D189" i="13"/>
  <c r="C189" i="13"/>
  <c r="E188" i="13"/>
  <c r="D188" i="13"/>
  <c r="C188" i="13"/>
  <c r="E187" i="13"/>
  <c r="D187" i="13"/>
  <c r="C187" i="13"/>
  <c r="E186" i="13"/>
  <c r="D186" i="13"/>
  <c r="C186" i="13"/>
  <c r="E185" i="13"/>
  <c r="D185" i="13"/>
  <c r="C185" i="13"/>
  <c r="E184" i="13"/>
  <c r="D184" i="13"/>
  <c r="C184" i="13"/>
  <c r="E183" i="13"/>
  <c r="D183" i="13"/>
  <c r="C183" i="13"/>
  <c r="E182" i="13"/>
  <c r="D182" i="13"/>
  <c r="C182" i="13"/>
  <c r="E181" i="13"/>
  <c r="D181" i="13"/>
  <c r="C181" i="13"/>
  <c r="E180" i="13"/>
  <c r="D180" i="13"/>
  <c r="C180" i="13"/>
  <c r="E179" i="13"/>
  <c r="D179" i="13"/>
  <c r="C179" i="13"/>
  <c r="E178" i="13"/>
  <c r="D178" i="13"/>
  <c r="C178" i="13"/>
  <c r="E177" i="13"/>
  <c r="D177" i="13"/>
  <c r="C177" i="13"/>
  <c r="E176" i="13"/>
  <c r="D176" i="13"/>
  <c r="C176" i="13"/>
  <c r="E175" i="13"/>
  <c r="D175" i="13"/>
  <c r="C175" i="13"/>
  <c r="E174" i="13"/>
  <c r="D174" i="13"/>
  <c r="C174" i="13"/>
  <c r="E173" i="13"/>
  <c r="D173" i="13"/>
  <c r="C173" i="13"/>
  <c r="E172" i="13"/>
  <c r="D172" i="13"/>
  <c r="C172" i="13"/>
  <c r="E171" i="13"/>
  <c r="D171" i="13"/>
  <c r="C171" i="13"/>
  <c r="E170" i="13"/>
  <c r="D170" i="13"/>
  <c r="C170" i="13"/>
  <c r="E169" i="13"/>
  <c r="D169" i="13"/>
  <c r="C169" i="13"/>
  <c r="E168" i="13"/>
  <c r="D168" i="13"/>
  <c r="C168" i="13"/>
  <c r="E167" i="13"/>
  <c r="D167" i="13"/>
  <c r="C167" i="13"/>
  <c r="E166" i="13"/>
  <c r="D166" i="13"/>
  <c r="C166" i="13"/>
  <c r="E165" i="13"/>
  <c r="D165" i="13"/>
  <c r="C165" i="13"/>
  <c r="E164" i="13"/>
  <c r="D164" i="13"/>
  <c r="C164" i="13"/>
  <c r="E163" i="13"/>
  <c r="D163" i="13"/>
  <c r="C163" i="13"/>
  <c r="E162" i="13"/>
  <c r="D162" i="13"/>
  <c r="C162" i="13"/>
  <c r="E161" i="13"/>
  <c r="D161" i="13"/>
  <c r="C161" i="13"/>
  <c r="E160" i="13"/>
  <c r="D160" i="13"/>
  <c r="C160" i="13"/>
  <c r="E159" i="13"/>
  <c r="D159" i="13"/>
  <c r="C159" i="13"/>
  <c r="E158" i="13"/>
  <c r="D158" i="13"/>
  <c r="C158" i="13"/>
  <c r="E157" i="13"/>
  <c r="D157" i="13"/>
  <c r="C157" i="13"/>
  <c r="E156" i="13"/>
  <c r="D156" i="13"/>
  <c r="C156" i="13"/>
  <c r="E155" i="13"/>
  <c r="D155" i="13"/>
  <c r="C155" i="13"/>
  <c r="E154" i="13"/>
  <c r="D154" i="13"/>
  <c r="C154" i="13"/>
  <c r="E153" i="13"/>
  <c r="D153" i="13"/>
  <c r="C153" i="13"/>
  <c r="E152" i="13"/>
  <c r="D152" i="13"/>
  <c r="C152" i="13"/>
  <c r="E151" i="13"/>
  <c r="D151" i="13"/>
  <c r="C151" i="13"/>
  <c r="E150" i="13"/>
  <c r="D150" i="13"/>
  <c r="C150" i="13"/>
  <c r="E149" i="13"/>
  <c r="D149" i="13"/>
  <c r="C149" i="13"/>
  <c r="E148" i="13"/>
  <c r="D148" i="13"/>
  <c r="C148" i="13"/>
  <c r="E147" i="13"/>
  <c r="D147" i="13"/>
  <c r="C147" i="13"/>
  <c r="E146" i="13"/>
  <c r="D146" i="13"/>
  <c r="C146" i="13"/>
  <c r="E145" i="13"/>
  <c r="D145" i="13"/>
  <c r="C145" i="13"/>
  <c r="E144" i="13"/>
  <c r="D144" i="13"/>
  <c r="C144" i="13"/>
  <c r="E143" i="13"/>
  <c r="D143" i="13"/>
  <c r="C143" i="13"/>
  <c r="E142" i="13"/>
  <c r="D142" i="13"/>
  <c r="C142" i="13"/>
  <c r="E141" i="13"/>
  <c r="D141" i="13"/>
  <c r="C141" i="13"/>
  <c r="E140" i="13"/>
  <c r="D140" i="13"/>
  <c r="C140" i="13"/>
  <c r="E139" i="13"/>
  <c r="D139" i="13"/>
  <c r="C139" i="13"/>
  <c r="E138" i="13"/>
  <c r="D138" i="13"/>
  <c r="C138" i="13"/>
  <c r="E137" i="13"/>
  <c r="D137" i="13"/>
  <c r="C137" i="13"/>
  <c r="E136" i="13"/>
  <c r="D136" i="13"/>
  <c r="C136" i="13"/>
  <c r="E135" i="13"/>
  <c r="D135" i="13"/>
  <c r="C135" i="13"/>
  <c r="E134" i="13"/>
  <c r="D134" i="13"/>
  <c r="C134" i="13"/>
  <c r="E133" i="13"/>
  <c r="D133" i="13"/>
  <c r="C133" i="13"/>
  <c r="E132" i="13"/>
  <c r="D132" i="13"/>
  <c r="C132" i="13"/>
  <c r="E131" i="13"/>
  <c r="D131" i="13"/>
  <c r="C131" i="13"/>
  <c r="E130" i="13"/>
  <c r="D130" i="13"/>
  <c r="C130" i="13"/>
  <c r="E129" i="13"/>
  <c r="D129" i="13"/>
  <c r="C129" i="13"/>
  <c r="E128" i="13"/>
  <c r="D128" i="13"/>
  <c r="C128" i="13"/>
  <c r="E127" i="13"/>
  <c r="D127" i="13"/>
  <c r="C127" i="13"/>
  <c r="E126" i="13"/>
  <c r="D126" i="13"/>
  <c r="C126" i="13"/>
  <c r="E125" i="13"/>
  <c r="D125" i="13"/>
  <c r="C125" i="13"/>
  <c r="E124" i="13"/>
  <c r="D124" i="13"/>
  <c r="C124" i="13"/>
  <c r="E123" i="13"/>
  <c r="D123" i="13"/>
  <c r="C123" i="13"/>
  <c r="E122" i="13"/>
  <c r="D122" i="13"/>
  <c r="C122" i="13"/>
  <c r="E121" i="13"/>
  <c r="D121" i="13"/>
  <c r="C121" i="13"/>
  <c r="E120" i="13"/>
  <c r="D120" i="13"/>
  <c r="C120" i="13"/>
  <c r="E119" i="13"/>
  <c r="D119" i="13"/>
  <c r="C119" i="13"/>
  <c r="E118" i="13"/>
  <c r="D118" i="13"/>
  <c r="C118" i="13"/>
  <c r="E117" i="13"/>
  <c r="D117" i="13"/>
  <c r="C117" i="13"/>
  <c r="E116" i="13"/>
  <c r="D116" i="13"/>
  <c r="C116" i="13"/>
  <c r="E115" i="13"/>
  <c r="D115" i="13"/>
  <c r="C115" i="13"/>
  <c r="E114" i="13"/>
  <c r="D114" i="13"/>
  <c r="C114" i="13"/>
  <c r="E113" i="13"/>
  <c r="D113" i="13"/>
  <c r="C113" i="13"/>
  <c r="E112" i="13"/>
  <c r="D112" i="13"/>
  <c r="C112" i="13"/>
  <c r="E111" i="13"/>
  <c r="D111" i="13"/>
  <c r="C111" i="13"/>
  <c r="E110" i="13"/>
  <c r="D110" i="13"/>
  <c r="C110" i="13"/>
  <c r="E109" i="13"/>
  <c r="D109" i="13"/>
  <c r="C109" i="13"/>
  <c r="E108" i="13"/>
  <c r="D108" i="13"/>
  <c r="C108" i="13"/>
  <c r="E107" i="13"/>
  <c r="D107" i="13"/>
  <c r="C107" i="13"/>
  <c r="E106" i="13"/>
  <c r="D106" i="13"/>
  <c r="C106" i="13"/>
  <c r="E105" i="13"/>
  <c r="D105" i="13"/>
  <c r="C105" i="13"/>
  <c r="E104" i="13"/>
  <c r="D104" i="13"/>
  <c r="C104" i="13"/>
  <c r="E103" i="13"/>
  <c r="D103" i="13"/>
  <c r="C103" i="13"/>
  <c r="E102" i="13"/>
  <c r="D102" i="13"/>
  <c r="C102" i="13"/>
  <c r="E101" i="13"/>
  <c r="D101" i="13"/>
  <c r="C101" i="13"/>
  <c r="E100" i="13"/>
  <c r="D100" i="13"/>
  <c r="C100" i="13"/>
  <c r="E99" i="13"/>
  <c r="D99" i="13"/>
  <c r="C99" i="13"/>
  <c r="E98" i="13"/>
  <c r="D98" i="13"/>
  <c r="C98" i="13"/>
  <c r="E97" i="13"/>
  <c r="D97" i="13"/>
  <c r="C97" i="13"/>
  <c r="E96" i="13"/>
  <c r="D96" i="13"/>
  <c r="C96" i="13"/>
  <c r="E95" i="13"/>
  <c r="D95" i="13"/>
  <c r="C95" i="13"/>
  <c r="E94" i="13"/>
  <c r="D94" i="13"/>
  <c r="C94" i="13"/>
  <c r="E93" i="13"/>
  <c r="D93" i="13"/>
  <c r="C93" i="13"/>
  <c r="E92" i="13"/>
  <c r="D92" i="13"/>
  <c r="C92" i="13"/>
  <c r="E91" i="13"/>
  <c r="D91" i="13"/>
  <c r="C91" i="13"/>
  <c r="E90" i="13"/>
  <c r="D90" i="13"/>
  <c r="C90" i="13"/>
  <c r="E89" i="13"/>
  <c r="D89" i="13"/>
  <c r="C89" i="13"/>
  <c r="E88" i="13"/>
  <c r="D88" i="13"/>
  <c r="C88" i="13"/>
  <c r="E87" i="13"/>
  <c r="D87" i="13"/>
  <c r="C87" i="13"/>
  <c r="E86" i="13"/>
  <c r="D86" i="13"/>
  <c r="C86" i="13"/>
  <c r="E85" i="13"/>
  <c r="D85" i="13"/>
  <c r="C85" i="13"/>
  <c r="E84" i="13"/>
  <c r="D84" i="13"/>
  <c r="C84" i="13"/>
  <c r="E83" i="13"/>
  <c r="D83" i="13"/>
  <c r="C83" i="13"/>
  <c r="E82" i="13"/>
  <c r="D82" i="13"/>
  <c r="C82" i="13"/>
  <c r="E81" i="13"/>
  <c r="D81" i="13"/>
  <c r="C81" i="13"/>
  <c r="E80" i="13"/>
  <c r="D80" i="13"/>
  <c r="C80" i="13"/>
  <c r="E79" i="13"/>
  <c r="D79" i="13"/>
  <c r="C79" i="13"/>
  <c r="E78" i="13"/>
  <c r="D78" i="13"/>
  <c r="C78" i="13"/>
  <c r="E77" i="13"/>
  <c r="D77" i="13"/>
  <c r="C77" i="13"/>
  <c r="E76" i="13"/>
  <c r="D76" i="13"/>
  <c r="C76" i="13"/>
  <c r="E75" i="13"/>
  <c r="D75" i="13"/>
  <c r="C75" i="13"/>
  <c r="E74" i="13"/>
  <c r="D74" i="13"/>
  <c r="C74" i="13"/>
  <c r="E73" i="13"/>
  <c r="D73" i="13"/>
  <c r="C73" i="13"/>
  <c r="E72" i="13"/>
  <c r="D72" i="13"/>
  <c r="C72" i="13"/>
  <c r="E71" i="13"/>
  <c r="D71" i="13"/>
  <c r="C71" i="13"/>
  <c r="E70" i="13"/>
  <c r="D70" i="13"/>
  <c r="C70" i="13"/>
  <c r="E69" i="13"/>
  <c r="D69" i="13"/>
  <c r="C69" i="13"/>
  <c r="E68" i="13"/>
  <c r="D68" i="13"/>
  <c r="C68" i="13"/>
  <c r="E67" i="13"/>
  <c r="D67" i="13"/>
  <c r="C67" i="13"/>
  <c r="E66" i="13"/>
  <c r="D66" i="13"/>
  <c r="C66" i="13"/>
  <c r="E65" i="13"/>
  <c r="D65" i="13"/>
  <c r="C65" i="13"/>
  <c r="E64" i="13"/>
  <c r="D64" i="13"/>
  <c r="C64" i="13"/>
  <c r="E63" i="13"/>
  <c r="D63" i="13"/>
  <c r="C63" i="13"/>
  <c r="E62" i="13"/>
  <c r="D62" i="13"/>
  <c r="C62" i="13"/>
  <c r="E61" i="13"/>
  <c r="D61" i="13"/>
  <c r="C61" i="13"/>
  <c r="E60" i="13"/>
  <c r="D60" i="13"/>
  <c r="C60" i="13"/>
  <c r="E59" i="13"/>
  <c r="D59" i="13"/>
  <c r="C59" i="13"/>
  <c r="E58" i="13"/>
  <c r="D58" i="13"/>
  <c r="C58" i="13"/>
  <c r="E57" i="13"/>
  <c r="D57" i="13"/>
  <c r="C57" i="13"/>
  <c r="E56" i="13"/>
  <c r="D56" i="13"/>
  <c r="C56" i="13"/>
  <c r="E55" i="13"/>
  <c r="D55" i="13"/>
  <c r="C55" i="13"/>
  <c r="E54" i="13"/>
  <c r="D54" i="13"/>
  <c r="C54" i="13"/>
  <c r="E53" i="13"/>
  <c r="D53" i="13"/>
  <c r="C53" i="13"/>
  <c r="E52" i="13"/>
  <c r="D52" i="13"/>
  <c r="C52" i="13"/>
  <c r="E51" i="13"/>
  <c r="D51" i="13"/>
  <c r="C51" i="13"/>
  <c r="E50" i="13"/>
  <c r="D50" i="13"/>
  <c r="C50" i="13"/>
  <c r="E49" i="13"/>
  <c r="D49" i="13"/>
  <c r="C49" i="13"/>
  <c r="E48" i="13"/>
  <c r="D48" i="13"/>
  <c r="C48" i="13"/>
  <c r="E47" i="13"/>
  <c r="D47" i="13"/>
  <c r="C47" i="13"/>
  <c r="E46" i="13"/>
  <c r="D46" i="13"/>
  <c r="C46" i="13"/>
  <c r="E45" i="13"/>
  <c r="D45" i="13"/>
  <c r="C45" i="13"/>
  <c r="E44" i="13"/>
  <c r="D44" i="13"/>
  <c r="C44" i="13"/>
  <c r="E43" i="13"/>
  <c r="D43" i="13"/>
  <c r="C43" i="13"/>
  <c r="E42" i="13"/>
  <c r="D42" i="13"/>
  <c r="C42" i="13"/>
  <c r="E41" i="13"/>
  <c r="D41" i="13"/>
  <c r="C41" i="13"/>
  <c r="E40" i="13"/>
  <c r="D40" i="13"/>
  <c r="C40" i="13"/>
  <c r="E39" i="13"/>
  <c r="D39" i="13"/>
  <c r="C39" i="13"/>
  <c r="E38" i="13"/>
  <c r="D38" i="13"/>
  <c r="C38" i="13"/>
  <c r="E37" i="13"/>
  <c r="D37" i="13"/>
  <c r="C37" i="13"/>
  <c r="E36" i="13"/>
  <c r="D36" i="13"/>
  <c r="C36" i="13"/>
  <c r="E35" i="13"/>
  <c r="D35" i="13"/>
  <c r="C35" i="13"/>
  <c r="E34" i="13"/>
  <c r="D34" i="13"/>
  <c r="C34" i="13"/>
  <c r="E33" i="13"/>
  <c r="D33" i="13"/>
  <c r="C33" i="13"/>
  <c r="E32" i="13"/>
  <c r="D32" i="13"/>
  <c r="C32" i="13"/>
  <c r="E31" i="13"/>
  <c r="D31" i="13"/>
  <c r="C31" i="13"/>
  <c r="E30" i="13"/>
  <c r="D30" i="13"/>
  <c r="C30" i="13"/>
  <c r="E29" i="13"/>
  <c r="D29" i="13"/>
  <c r="C29" i="13"/>
  <c r="E28" i="13"/>
  <c r="D28" i="13"/>
  <c r="C28" i="13"/>
  <c r="E27" i="13"/>
  <c r="D27" i="13"/>
  <c r="C27" i="13"/>
  <c r="E26" i="13"/>
  <c r="D26" i="13"/>
  <c r="C26" i="13"/>
  <c r="E25" i="13"/>
  <c r="D25" i="13"/>
  <c r="C25" i="13"/>
  <c r="E24" i="13"/>
  <c r="D24" i="13"/>
  <c r="C24" i="13"/>
  <c r="E23" i="13"/>
  <c r="D23" i="13"/>
  <c r="C23" i="13"/>
  <c r="E22" i="13"/>
  <c r="D22" i="13"/>
  <c r="C22" i="13"/>
  <c r="E21" i="13"/>
  <c r="D21" i="13"/>
  <c r="C21" i="13"/>
  <c r="E20" i="13"/>
  <c r="D20" i="13"/>
  <c r="C20" i="13"/>
  <c r="E19" i="13"/>
  <c r="D19" i="13"/>
  <c r="C19" i="13"/>
  <c r="E18" i="13"/>
  <c r="D18" i="13"/>
  <c r="C18" i="13"/>
  <c r="E17" i="13"/>
  <c r="D17" i="13"/>
  <c r="C17" i="13"/>
  <c r="E16" i="13"/>
  <c r="D16" i="13"/>
  <c r="C16" i="13"/>
  <c r="E15" i="13"/>
  <c r="D15" i="13"/>
  <c r="C15" i="13"/>
  <c r="E14" i="13"/>
  <c r="D14" i="13"/>
  <c r="C14" i="13"/>
  <c r="E13" i="13"/>
  <c r="D13" i="13"/>
  <c r="C13" i="13"/>
  <c r="E12" i="13"/>
  <c r="D12" i="13"/>
  <c r="C12" i="13"/>
  <c r="P10" i="13"/>
  <c r="O10" i="13"/>
  <c r="N10" i="13"/>
  <c r="M10" i="13"/>
  <c r="L10" i="13"/>
  <c r="K10" i="13"/>
  <c r="P9" i="13"/>
  <c r="O9" i="13"/>
  <c r="N9" i="13"/>
  <c r="M9" i="13"/>
  <c r="L9" i="13"/>
  <c r="K9" i="13"/>
  <c r="P8" i="13"/>
  <c r="O8" i="13"/>
  <c r="N8" i="13"/>
  <c r="M8" i="13"/>
  <c r="L8" i="13"/>
  <c r="K8" i="13"/>
  <c r="P7" i="13"/>
  <c r="O7" i="13"/>
  <c r="N7" i="13"/>
  <c r="M7" i="13"/>
  <c r="L7" i="13"/>
  <c r="K7" i="13"/>
  <c r="P6" i="13"/>
  <c r="O6" i="13"/>
  <c r="N6" i="13"/>
  <c r="M6" i="13"/>
  <c r="L6" i="13"/>
  <c r="K6" i="13"/>
  <c r="C18" i="12"/>
  <c r="E191" i="12"/>
  <c r="D191" i="12"/>
  <c r="C191" i="12"/>
  <c r="E190" i="12"/>
  <c r="D190" i="12"/>
  <c r="C190" i="12"/>
  <c r="E189" i="12"/>
  <c r="D189" i="12"/>
  <c r="C189" i="12"/>
  <c r="E188" i="12"/>
  <c r="D188" i="12"/>
  <c r="C188" i="12"/>
  <c r="E187" i="12"/>
  <c r="D187" i="12"/>
  <c r="C187" i="12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E13" i="12"/>
  <c r="D13" i="12"/>
  <c r="C13" i="12"/>
  <c r="E12" i="12"/>
  <c r="D12" i="12"/>
  <c r="C12" i="12"/>
  <c r="P10" i="12"/>
  <c r="O10" i="12"/>
  <c r="N10" i="12"/>
  <c r="M10" i="12"/>
  <c r="L10" i="12"/>
  <c r="K10" i="12"/>
  <c r="P9" i="12"/>
  <c r="O9" i="12"/>
  <c r="N9" i="12"/>
  <c r="M9" i="12"/>
  <c r="L9" i="12"/>
  <c r="K9" i="12"/>
  <c r="P8" i="12"/>
  <c r="O8" i="12"/>
  <c r="N8" i="12"/>
  <c r="M8" i="12"/>
  <c r="L8" i="12"/>
  <c r="K8" i="12"/>
  <c r="P7" i="12"/>
  <c r="O7" i="12"/>
  <c r="N7" i="12"/>
  <c r="M7" i="12"/>
  <c r="L7" i="12"/>
  <c r="K7" i="12"/>
  <c r="P6" i="12"/>
  <c r="O6" i="12"/>
  <c r="N6" i="12"/>
  <c r="M6" i="12"/>
  <c r="L6" i="12"/>
  <c r="K6" i="12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E13" i="11"/>
  <c r="D13" i="11"/>
  <c r="C13" i="11"/>
  <c r="E12" i="11"/>
  <c r="D12" i="11"/>
  <c r="C12" i="11"/>
  <c r="P10" i="11"/>
  <c r="O10" i="11"/>
  <c r="N10" i="11"/>
  <c r="M10" i="11"/>
  <c r="L10" i="11"/>
  <c r="K10" i="11"/>
  <c r="P9" i="11"/>
  <c r="O9" i="11"/>
  <c r="N9" i="11"/>
  <c r="M9" i="11"/>
  <c r="L9" i="11"/>
  <c r="K9" i="11"/>
  <c r="P8" i="11"/>
  <c r="O8" i="11"/>
  <c r="N8" i="11"/>
  <c r="M8" i="11"/>
  <c r="L8" i="11"/>
  <c r="K8" i="11"/>
  <c r="P7" i="11"/>
  <c r="O7" i="11"/>
  <c r="N7" i="11"/>
  <c r="M7" i="11"/>
  <c r="L7" i="11"/>
  <c r="K7" i="11"/>
  <c r="P6" i="11"/>
  <c r="O6" i="11"/>
  <c r="N6" i="11"/>
  <c r="M6" i="11"/>
  <c r="L6" i="11"/>
  <c r="K6" i="11"/>
  <c r="E191" i="10"/>
  <c r="D191" i="10"/>
  <c r="C191" i="10"/>
  <c r="E190" i="10"/>
  <c r="D190" i="10"/>
  <c r="C190" i="10"/>
  <c r="E189" i="10"/>
  <c r="D189" i="10"/>
  <c r="C189" i="10"/>
  <c r="E188" i="10"/>
  <c r="D188" i="10"/>
  <c r="C188" i="10"/>
  <c r="E187" i="10"/>
  <c r="D187" i="10"/>
  <c r="C187" i="10"/>
  <c r="E186" i="10"/>
  <c r="D186" i="10"/>
  <c r="C186" i="10"/>
  <c r="E185" i="10"/>
  <c r="D185" i="10"/>
  <c r="C185" i="10"/>
  <c r="E184" i="10"/>
  <c r="D184" i="10"/>
  <c r="C184" i="10"/>
  <c r="E183" i="10"/>
  <c r="D183" i="10"/>
  <c r="C183" i="10"/>
  <c r="E182" i="10"/>
  <c r="D182" i="10"/>
  <c r="C182" i="10"/>
  <c r="E181" i="10"/>
  <c r="D181" i="10"/>
  <c r="C181" i="10"/>
  <c r="E180" i="10"/>
  <c r="D180" i="10"/>
  <c r="C180" i="10"/>
  <c r="E179" i="10"/>
  <c r="D179" i="10"/>
  <c r="C179" i="10"/>
  <c r="E178" i="10"/>
  <c r="D178" i="10"/>
  <c r="C178" i="10"/>
  <c r="E177" i="10"/>
  <c r="D177" i="10"/>
  <c r="C177" i="10"/>
  <c r="E176" i="10"/>
  <c r="D176" i="10"/>
  <c r="C176" i="10"/>
  <c r="E175" i="10"/>
  <c r="D175" i="10"/>
  <c r="C175" i="10"/>
  <c r="E174" i="10"/>
  <c r="D174" i="10"/>
  <c r="C174" i="10"/>
  <c r="E173" i="10"/>
  <c r="D173" i="10"/>
  <c r="C173" i="10"/>
  <c r="E172" i="10"/>
  <c r="D172" i="10"/>
  <c r="C172" i="10"/>
  <c r="E171" i="10"/>
  <c r="D171" i="10"/>
  <c r="C171" i="10"/>
  <c r="E170" i="10"/>
  <c r="D170" i="10"/>
  <c r="C170" i="10"/>
  <c r="E169" i="10"/>
  <c r="D169" i="10"/>
  <c r="C169" i="10"/>
  <c r="E168" i="10"/>
  <c r="D168" i="10"/>
  <c r="C168" i="10"/>
  <c r="E167" i="10"/>
  <c r="D167" i="10"/>
  <c r="C167" i="10"/>
  <c r="E166" i="10"/>
  <c r="D166" i="10"/>
  <c r="C166" i="10"/>
  <c r="E165" i="10"/>
  <c r="D165" i="10"/>
  <c r="C165" i="10"/>
  <c r="E164" i="10"/>
  <c r="D164" i="10"/>
  <c r="C164" i="10"/>
  <c r="E163" i="10"/>
  <c r="D163" i="10"/>
  <c r="C163" i="10"/>
  <c r="E162" i="10"/>
  <c r="D162" i="10"/>
  <c r="C162" i="10"/>
  <c r="E161" i="10"/>
  <c r="D161" i="10"/>
  <c r="C161" i="10"/>
  <c r="E160" i="10"/>
  <c r="D160" i="10"/>
  <c r="C160" i="10"/>
  <c r="E159" i="10"/>
  <c r="D159" i="10"/>
  <c r="C159" i="10"/>
  <c r="E158" i="10"/>
  <c r="D158" i="10"/>
  <c r="C158" i="10"/>
  <c r="E157" i="10"/>
  <c r="D157" i="10"/>
  <c r="C157" i="10"/>
  <c r="E156" i="10"/>
  <c r="D156" i="10"/>
  <c r="C156" i="10"/>
  <c r="E155" i="10"/>
  <c r="D155" i="10"/>
  <c r="C155" i="10"/>
  <c r="E154" i="10"/>
  <c r="D154" i="10"/>
  <c r="C154" i="10"/>
  <c r="E153" i="10"/>
  <c r="D153" i="10"/>
  <c r="C153" i="10"/>
  <c r="E152" i="10"/>
  <c r="D152" i="10"/>
  <c r="C152" i="10"/>
  <c r="E151" i="10"/>
  <c r="D151" i="10"/>
  <c r="C151" i="10"/>
  <c r="E150" i="10"/>
  <c r="D150" i="10"/>
  <c r="C150" i="10"/>
  <c r="E149" i="10"/>
  <c r="D149" i="10"/>
  <c r="C149" i="10"/>
  <c r="E148" i="10"/>
  <c r="D148" i="10"/>
  <c r="C148" i="10"/>
  <c r="E147" i="10"/>
  <c r="D147" i="10"/>
  <c r="C147" i="10"/>
  <c r="E146" i="10"/>
  <c r="D146" i="10"/>
  <c r="C146" i="10"/>
  <c r="E145" i="10"/>
  <c r="D145" i="10"/>
  <c r="C145" i="10"/>
  <c r="E144" i="10"/>
  <c r="D144" i="10"/>
  <c r="C144" i="10"/>
  <c r="E143" i="10"/>
  <c r="D143" i="10"/>
  <c r="C143" i="10"/>
  <c r="E142" i="10"/>
  <c r="D142" i="10"/>
  <c r="C142" i="10"/>
  <c r="E141" i="10"/>
  <c r="D141" i="10"/>
  <c r="C141" i="10"/>
  <c r="E140" i="10"/>
  <c r="D140" i="10"/>
  <c r="C140" i="10"/>
  <c r="E139" i="10"/>
  <c r="D139" i="10"/>
  <c r="C139" i="10"/>
  <c r="E138" i="10"/>
  <c r="D138" i="10"/>
  <c r="C138" i="10"/>
  <c r="E137" i="10"/>
  <c r="D137" i="10"/>
  <c r="C137" i="10"/>
  <c r="E136" i="10"/>
  <c r="D136" i="10"/>
  <c r="C136" i="10"/>
  <c r="E135" i="10"/>
  <c r="D135" i="10"/>
  <c r="C135" i="10"/>
  <c r="E134" i="10"/>
  <c r="D134" i="10"/>
  <c r="C134" i="10"/>
  <c r="E133" i="10"/>
  <c r="D133" i="10"/>
  <c r="C133" i="10"/>
  <c r="E132" i="10"/>
  <c r="D132" i="10"/>
  <c r="C132" i="10"/>
  <c r="E131" i="10"/>
  <c r="D131" i="10"/>
  <c r="C131" i="10"/>
  <c r="E130" i="10"/>
  <c r="D130" i="10"/>
  <c r="C130" i="10"/>
  <c r="E129" i="10"/>
  <c r="D129" i="10"/>
  <c r="C129" i="10"/>
  <c r="E128" i="10"/>
  <c r="D128" i="10"/>
  <c r="C128" i="10"/>
  <c r="E127" i="10"/>
  <c r="D127" i="10"/>
  <c r="C127" i="10"/>
  <c r="E126" i="10"/>
  <c r="D126" i="10"/>
  <c r="C126" i="10"/>
  <c r="E125" i="10"/>
  <c r="D125" i="10"/>
  <c r="C125" i="10"/>
  <c r="E124" i="10"/>
  <c r="D124" i="10"/>
  <c r="C124" i="10"/>
  <c r="E123" i="10"/>
  <c r="D123" i="10"/>
  <c r="C123" i="10"/>
  <c r="E122" i="10"/>
  <c r="D122" i="10"/>
  <c r="C122" i="10"/>
  <c r="E121" i="10"/>
  <c r="D121" i="10"/>
  <c r="C121" i="10"/>
  <c r="E120" i="10"/>
  <c r="D120" i="10"/>
  <c r="C120" i="10"/>
  <c r="E119" i="10"/>
  <c r="D119" i="10"/>
  <c r="C119" i="10"/>
  <c r="E118" i="10"/>
  <c r="D118" i="10"/>
  <c r="C118" i="10"/>
  <c r="E117" i="10"/>
  <c r="D117" i="10"/>
  <c r="C117" i="10"/>
  <c r="E116" i="10"/>
  <c r="D116" i="10"/>
  <c r="C116" i="10"/>
  <c r="E115" i="10"/>
  <c r="D115" i="10"/>
  <c r="C115" i="10"/>
  <c r="E114" i="10"/>
  <c r="D114" i="10"/>
  <c r="C114" i="10"/>
  <c r="E113" i="10"/>
  <c r="D113" i="10"/>
  <c r="C113" i="10"/>
  <c r="E112" i="10"/>
  <c r="D112" i="10"/>
  <c r="C112" i="10"/>
  <c r="E111" i="10"/>
  <c r="D111" i="10"/>
  <c r="C111" i="10"/>
  <c r="E110" i="10"/>
  <c r="D110" i="10"/>
  <c r="C110" i="10"/>
  <c r="E109" i="10"/>
  <c r="D109" i="10"/>
  <c r="C109" i="10"/>
  <c r="E108" i="10"/>
  <c r="D108" i="10"/>
  <c r="C108" i="10"/>
  <c r="E107" i="10"/>
  <c r="D107" i="10"/>
  <c r="C107" i="10"/>
  <c r="E106" i="10"/>
  <c r="D106" i="10"/>
  <c r="C106" i="10"/>
  <c r="E105" i="10"/>
  <c r="D105" i="10"/>
  <c r="C105" i="10"/>
  <c r="E104" i="10"/>
  <c r="D104" i="10"/>
  <c r="C104" i="10"/>
  <c r="E103" i="10"/>
  <c r="D103" i="10"/>
  <c r="C103" i="10"/>
  <c r="E102" i="10"/>
  <c r="D102" i="10"/>
  <c r="C102" i="10"/>
  <c r="E101" i="10"/>
  <c r="D101" i="10"/>
  <c r="C101" i="10"/>
  <c r="E100" i="10"/>
  <c r="D100" i="10"/>
  <c r="C100" i="10"/>
  <c r="E99" i="10"/>
  <c r="D99" i="10"/>
  <c r="C99" i="10"/>
  <c r="E98" i="10"/>
  <c r="D98" i="10"/>
  <c r="C98" i="10"/>
  <c r="E97" i="10"/>
  <c r="D97" i="10"/>
  <c r="C97" i="10"/>
  <c r="E96" i="10"/>
  <c r="D96" i="10"/>
  <c r="C96" i="10"/>
  <c r="E95" i="10"/>
  <c r="D95" i="10"/>
  <c r="C95" i="10"/>
  <c r="E94" i="10"/>
  <c r="D94" i="10"/>
  <c r="C94" i="10"/>
  <c r="E93" i="10"/>
  <c r="D93" i="10"/>
  <c r="C93" i="10"/>
  <c r="E92" i="10"/>
  <c r="D92" i="10"/>
  <c r="C92" i="10"/>
  <c r="E91" i="10"/>
  <c r="D91" i="10"/>
  <c r="C91" i="10"/>
  <c r="E90" i="10"/>
  <c r="D90" i="10"/>
  <c r="C90" i="10"/>
  <c r="E89" i="10"/>
  <c r="D89" i="10"/>
  <c r="C89" i="10"/>
  <c r="E88" i="10"/>
  <c r="D88" i="10"/>
  <c r="C88" i="10"/>
  <c r="E87" i="10"/>
  <c r="D87" i="10"/>
  <c r="C87" i="10"/>
  <c r="E86" i="10"/>
  <c r="D86" i="10"/>
  <c r="C86" i="10"/>
  <c r="E85" i="10"/>
  <c r="D85" i="10"/>
  <c r="C85" i="10"/>
  <c r="E84" i="10"/>
  <c r="D84" i="10"/>
  <c r="C84" i="10"/>
  <c r="E83" i="10"/>
  <c r="D83" i="10"/>
  <c r="C83" i="10"/>
  <c r="E82" i="10"/>
  <c r="D82" i="10"/>
  <c r="C82" i="10"/>
  <c r="E81" i="10"/>
  <c r="D81" i="10"/>
  <c r="C81" i="10"/>
  <c r="E80" i="10"/>
  <c r="D80" i="10"/>
  <c r="C80" i="10"/>
  <c r="E79" i="10"/>
  <c r="D79" i="10"/>
  <c r="C79" i="10"/>
  <c r="E78" i="10"/>
  <c r="D78" i="10"/>
  <c r="C78" i="10"/>
  <c r="E77" i="10"/>
  <c r="D77" i="10"/>
  <c r="C77" i="10"/>
  <c r="E76" i="10"/>
  <c r="D76" i="10"/>
  <c r="C76" i="10"/>
  <c r="E75" i="10"/>
  <c r="D75" i="10"/>
  <c r="C75" i="10"/>
  <c r="E74" i="10"/>
  <c r="D74" i="10"/>
  <c r="C74" i="10"/>
  <c r="E73" i="10"/>
  <c r="D73" i="10"/>
  <c r="C73" i="10"/>
  <c r="E72" i="10"/>
  <c r="D72" i="10"/>
  <c r="C72" i="10"/>
  <c r="E71" i="10"/>
  <c r="D71" i="10"/>
  <c r="C71" i="10"/>
  <c r="E70" i="10"/>
  <c r="D70" i="10"/>
  <c r="C70" i="10"/>
  <c r="E69" i="10"/>
  <c r="D69" i="10"/>
  <c r="C69" i="10"/>
  <c r="E68" i="10"/>
  <c r="D68" i="10"/>
  <c r="C68" i="10"/>
  <c r="E67" i="10"/>
  <c r="D67" i="10"/>
  <c r="C67" i="10"/>
  <c r="E66" i="10"/>
  <c r="D66" i="10"/>
  <c r="C66" i="10"/>
  <c r="E65" i="10"/>
  <c r="D65" i="10"/>
  <c r="C65" i="10"/>
  <c r="E64" i="10"/>
  <c r="D64" i="10"/>
  <c r="C64" i="10"/>
  <c r="E63" i="10"/>
  <c r="D63" i="10"/>
  <c r="C63" i="10"/>
  <c r="E62" i="10"/>
  <c r="D62" i="10"/>
  <c r="C62" i="10"/>
  <c r="E61" i="10"/>
  <c r="D61" i="10"/>
  <c r="C61" i="10"/>
  <c r="E60" i="10"/>
  <c r="D60" i="10"/>
  <c r="C60" i="10"/>
  <c r="E59" i="10"/>
  <c r="D59" i="10"/>
  <c r="C59" i="10"/>
  <c r="E58" i="10"/>
  <c r="D58" i="10"/>
  <c r="C58" i="10"/>
  <c r="E57" i="10"/>
  <c r="D57" i="10"/>
  <c r="C57" i="10"/>
  <c r="E56" i="10"/>
  <c r="D56" i="10"/>
  <c r="C56" i="10"/>
  <c r="E55" i="10"/>
  <c r="D55" i="10"/>
  <c r="C55" i="10"/>
  <c r="E54" i="10"/>
  <c r="D54" i="10"/>
  <c r="C54" i="10"/>
  <c r="E53" i="10"/>
  <c r="D53" i="10"/>
  <c r="C53" i="10"/>
  <c r="E52" i="10"/>
  <c r="D52" i="10"/>
  <c r="C52" i="10"/>
  <c r="E51" i="10"/>
  <c r="D51" i="10"/>
  <c r="C51" i="10"/>
  <c r="E50" i="10"/>
  <c r="D50" i="10"/>
  <c r="C50" i="10"/>
  <c r="E49" i="10"/>
  <c r="D49" i="10"/>
  <c r="C49" i="10"/>
  <c r="E48" i="10"/>
  <c r="D48" i="10"/>
  <c r="C48" i="10"/>
  <c r="E47" i="10"/>
  <c r="D47" i="10"/>
  <c r="C47" i="10"/>
  <c r="E46" i="10"/>
  <c r="D46" i="10"/>
  <c r="C46" i="10"/>
  <c r="E45" i="10"/>
  <c r="D45" i="10"/>
  <c r="C45" i="10"/>
  <c r="E44" i="10"/>
  <c r="D44" i="10"/>
  <c r="C44" i="10"/>
  <c r="E43" i="10"/>
  <c r="D43" i="10"/>
  <c r="C43" i="10"/>
  <c r="E42" i="10"/>
  <c r="D42" i="10"/>
  <c r="C42" i="10"/>
  <c r="E41" i="10"/>
  <c r="D41" i="10"/>
  <c r="C41" i="10"/>
  <c r="E40" i="10"/>
  <c r="D40" i="10"/>
  <c r="C40" i="10"/>
  <c r="E39" i="10"/>
  <c r="D39" i="10"/>
  <c r="C39" i="10"/>
  <c r="E38" i="10"/>
  <c r="D38" i="10"/>
  <c r="C38" i="10"/>
  <c r="E37" i="10"/>
  <c r="D37" i="10"/>
  <c r="C37" i="10"/>
  <c r="E36" i="10"/>
  <c r="D36" i="10"/>
  <c r="C36" i="10"/>
  <c r="E35" i="10"/>
  <c r="D35" i="10"/>
  <c r="C35" i="10"/>
  <c r="E34" i="10"/>
  <c r="D34" i="10"/>
  <c r="C34" i="10"/>
  <c r="E33" i="10"/>
  <c r="D33" i="10"/>
  <c r="C33" i="10"/>
  <c r="E32" i="10"/>
  <c r="D32" i="10"/>
  <c r="C32" i="10"/>
  <c r="E31" i="10"/>
  <c r="D31" i="10"/>
  <c r="C31" i="10"/>
  <c r="E30" i="10"/>
  <c r="D30" i="10"/>
  <c r="C30" i="10"/>
  <c r="E29" i="10"/>
  <c r="D29" i="10"/>
  <c r="C29" i="10"/>
  <c r="E28" i="10"/>
  <c r="D28" i="10"/>
  <c r="C28" i="10"/>
  <c r="E27" i="10"/>
  <c r="D27" i="10"/>
  <c r="C27" i="10"/>
  <c r="E26" i="10"/>
  <c r="D26" i="10"/>
  <c r="C26" i="10"/>
  <c r="E25" i="10"/>
  <c r="D25" i="10"/>
  <c r="C25" i="10"/>
  <c r="E24" i="10"/>
  <c r="D24" i="10"/>
  <c r="C24" i="10"/>
  <c r="E23" i="10"/>
  <c r="D23" i="10"/>
  <c r="C23" i="10"/>
  <c r="E22" i="10"/>
  <c r="D22" i="10"/>
  <c r="C22" i="10"/>
  <c r="E21" i="10"/>
  <c r="D21" i="10"/>
  <c r="C21" i="10"/>
  <c r="E20" i="10"/>
  <c r="D20" i="10"/>
  <c r="C20" i="10"/>
  <c r="E19" i="10"/>
  <c r="D19" i="10"/>
  <c r="C19" i="10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E13" i="10"/>
  <c r="D13" i="10"/>
  <c r="C13" i="10"/>
  <c r="E12" i="10"/>
  <c r="D12" i="10"/>
  <c r="C12" i="10"/>
  <c r="P10" i="10"/>
  <c r="O10" i="10"/>
  <c r="N10" i="10"/>
  <c r="M10" i="10"/>
  <c r="L10" i="10"/>
  <c r="K10" i="10"/>
  <c r="P9" i="10"/>
  <c r="O9" i="10"/>
  <c r="N9" i="10"/>
  <c r="M9" i="10"/>
  <c r="L9" i="10"/>
  <c r="K9" i="10"/>
  <c r="P8" i="10"/>
  <c r="O8" i="10"/>
  <c r="N8" i="10"/>
  <c r="M8" i="10"/>
  <c r="L8" i="10"/>
  <c r="K8" i="10"/>
  <c r="P7" i="10"/>
  <c r="O7" i="10"/>
  <c r="N7" i="10"/>
  <c r="M7" i="10"/>
  <c r="L7" i="10"/>
  <c r="K7" i="10"/>
  <c r="P6" i="10"/>
  <c r="O6" i="10"/>
  <c r="N6" i="10"/>
  <c r="M6" i="10"/>
  <c r="L6" i="10"/>
  <c r="K6" i="10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D191" i="14"/>
  <c r="D190" i="14"/>
  <c r="D189" i="14"/>
  <c r="D188" i="14"/>
  <c r="D187" i="14"/>
  <c r="D186" i="14"/>
  <c r="D185" i="14"/>
  <c r="D184" i="14"/>
  <c r="D183" i="14"/>
  <c r="D182" i="14"/>
  <c r="D181" i="14"/>
  <c r="D180" i="14"/>
  <c r="D179" i="14"/>
  <c r="D178" i="14"/>
  <c r="D177" i="14"/>
  <c r="D176" i="14"/>
  <c r="D175" i="14"/>
  <c r="D174" i="14"/>
  <c r="D173" i="14"/>
  <c r="D172" i="14"/>
  <c r="D171" i="14"/>
  <c r="D170" i="14"/>
  <c r="D169" i="14"/>
  <c r="D168" i="14"/>
  <c r="D167" i="14"/>
  <c r="D166" i="14"/>
  <c r="D165" i="14"/>
  <c r="D164" i="14"/>
  <c r="D163" i="14"/>
  <c r="D162" i="14"/>
  <c r="D161" i="14"/>
  <c r="D160" i="14"/>
  <c r="D159" i="14"/>
  <c r="D158" i="14"/>
  <c r="D157" i="14"/>
  <c r="D156" i="14"/>
  <c r="D155" i="14"/>
  <c r="D154" i="14"/>
  <c r="D153" i="14"/>
  <c r="D152" i="14"/>
  <c r="D151" i="14"/>
  <c r="D150" i="14"/>
  <c r="D149" i="14"/>
  <c r="D148" i="14"/>
  <c r="D147" i="14"/>
  <c r="D146" i="14"/>
  <c r="D145" i="14"/>
  <c r="D144" i="14"/>
  <c r="D143" i="14"/>
  <c r="D142" i="14"/>
  <c r="D141" i="14"/>
  <c r="D140" i="14"/>
  <c r="D139" i="14"/>
  <c r="D138" i="14"/>
  <c r="D137" i="14"/>
  <c r="D136" i="14"/>
  <c r="D135" i="14"/>
  <c r="D134" i="14"/>
  <c r="D133" i="14"/>
  <c r="D132" i="14"/>
  <c r="D131" i="14"/>
  <c r="D130" i="14"/>
  <c r="D129" i="14"/>
  <c r="D128" i="14"/>
  <c r="D127" i="14"/>
  <c r="D126" i="14"/>
  <c r="D125" i="14"/>
  <c r="D124" i="14"/>
  <c r="D123" i="14"/>
  <c r="D122" i="14"/>
  <c r="D121" i="14"/>
  <c r="D120" i="14"/>
  <c r="D119" i="14"/>
  <c r="D118" i="14"/>
  <c r="D117" i="14"/>
  <c r="D116" i="14"/>
  <c r="D115" i="14"/>
  <c r="D114" i="14"/>
  <c r="D113" i="14"/>
  <c r="D112" i="14"/>
  <c r="D111" i="14"/>
  <c r="D110" i="14"/>
  <c r="D109" i="14"/>
  <c r="D108" i="14"/>
  <c r="D107" i="14"/>
  <c r="D106" i="14"/>
  <c r="D105" i="14"/>
  <c r="D104" i="14"/>
  <c r="D103" i="14"/>
  <c r="D102" i="14"/>
  <c r="D101" i="14"/>
  <c r="D100" i="14"/>
  <c r="D99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6" i="14"/>
  <c r="D85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8" i="14"/>
  <c r="D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C16" i="14"/>
  <c r="C191" i="14"/>
  <c r="C190" i="14"/>
  <c r="C189" i="14"/>
  <c r="C188" i="14"/>
  <c r="C187" i="14"/>
  <c r="C186" i="14"/>
  <c r="C185" i="14"/>
  <c r="C184" i="14"/>
  <c r="C183" i="14"/>
  <c r="C182" i="14"/>
  <c r="C181" i="14"/>
  <c r="C180" i="14"/>
  <c r="C179" i="14"/>
  <c r="C178" i="14"/>
  <c r="C177" i="14"/>
  <c r="C176" i="14"/>
  <c r="C175" i="14"/>
  <c r="C174" i="14"/>
  <c r="C173" i="14"/>
  <c r="C172" i="14"/>
  <c r="C171" i="14"/>
  <c r="C170" i="14"/>
  <c r="C169" i="14"/>
  <c r="C168" i="14"/>
  <c r="C167" i="14"/>
  <c r="C166" i="14"/>
  <c r="C165" i="14"/>
  <c r="C164" i="14"/>
  <c r="C163" i="14"/>
  <c r="C162" i="14"/>
  <c r="C161" i="14"/>
  <c r="C160" i="14"/>
  <c r="C159" i="14"/>
  <c r="C158" i="14"/>
  <c r="C157" i="14"/>
  <c r="C156" i="14"/>
  <c r="C155" i="14"/>
  <c r="C154" i="14"/>
  <c r="C153" i="14"/>
  <c r="C152" i="14"/>
  <c r="C151" i="14"/>
  <c r="C150" i="14"/>
  <c r="C149" i="14"/>
  <c r="C148" i="14"/>
  <c r="C147" i="14"/>
  <c r="C146" i="14"/>
  <c r="C145" i="14"/>
  <c r="C144" i="14"/>
  <c r="C143" i="14"/>
  <c r="C142" i="14"/>
  <c r="C141" i="14"/>
  <c r="C140" i="14"/>
  <c r="C139" i="14"/>
  <c r="C138" i="14"/>
  <c r="C137" i="14"/>
  <c r="C136" i="14"/>
  <c r="C135" i="14"/>
  <c r="C134" i="14"/>
  <c r="C133" i="14"/>
  <c r="C132" i="14"/>
  <c r="C131" i="14"/>
  <c r="C130" i="14"/>
  <c r="C129" i="14"/>
  <c r="C128" i="14"/>
  <c r="C127" i="14"/>
  <c r="C126" i="14"/>
  <c r="C125" i="14"/>
  <c r="C124" i="14"/>
  <c r="C123" i="14"/>
  <c r="C122" i="14"/>
  <c r="C121" i="14"/>
  <c r="C120" i="14"/>
  <c r="C119" i="14"/>
  <c r="C118" i="14"/>
  <c r="C117" i="14"/>
  <c r="C116" i="14"/>
  <c r="C115" i="14"/>
  <c r="C114" i="14"/>
  <c r="C113" i="14"/>
  <c r="C112" i="14"/>
  <c r="C111" i="14"/>
  <c r="C110" i="14"/>
  <c r="C109" i="14"/>
  <c r="C108" i="14"/>
  <c r="C107" i="14"/>
  <c r="C106" i="14"/>
  <c r="C105" i="14"/>
  <c r="C104" i="14"/>
  <c r="C103" i="14"/>
  <c r="C102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87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72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57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42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27" i="14"/>
  <c r="C13" i="14"/>
  <c r="C14" i="14"/>
  <c r="C15" i="14"/>
  <c r="C17" i="14"/>
  <c r="C18" i="14"/>
  <c r="C19" i="14"/>
  <c r="C20" i="14"/>
  <c r="C21" i="14"/>
  <c r="C22" i="14"/>
  <c r="C23" i="14"/>
  <c r="C24" i="14"/>
  <c r="C25" i="14"/>
  <c r="C26" i="14"/>
  <c r="C12" i="14"/>
  <c r="L10" i="14"/>
  <c r="M10" i="14"/>
  <c r="N10" i="14"/>
  <c r="O10" i="14"/>
  <c r="P10" i="14"/>
  <c r="K10" i="14"/>
  <c r="P9" i="14"/>
  <c r="L9" i="14"/>
  <c r="M9" i="14"/>
  <c r="N9" i="14"/>
  <c r="O9" i="14"/>
  <c r="K9" i="14"/>
  <c r="L8" i="14"/>
  <c r="M8" i="14"/>
  <c r="N8" i="14"/>
  <c r="O8" i="14"/>
  <c r="P8" i="14"/>
  <c r="K8" i="14"/>
  <c r="L7" i="14"/>
  <c r="M7" i="14"/>
  <c r="N7" i="14"/>
  <c r="O7" i="14"/>
  <c r="P7" i="14"/>
  <c r="K7" i="14"/>
  <c r="P6" i="14"/>
  <c r="L6" i="14"/>
  <c r="M6" i="14"/>
  <c r="N6" i="14"/>
  <c r="O6" i="14"/>
  <c r="K6" i="14"/>
  <c r="U57" i="15"/>
  <c r="V57" i="15"/>
  <c r="W57" i="15"/>
  <c r="X57" i="15"/>
  <c r="Y57" i="15"/>
  <c r="Z57" i="15"/>
  <c r="AA57" i="15"/>
  <c r="U58" i="15"/>
  <c r="V58" i="15"/>
  <c r="W58" i="15"/>
  <c r="X58" i="15"/>
  <c r="Y58" i="15"/>
  <c r="Z58" i="15"/>
  <c r="AA58" i="15"/>
  <c r="U59" i="15"/>
  <c r="V59" i="15"/>
  <c r="W59" i="15"/>
  <c r="X59" i="15"/>
  <c r="Y59" i="15"/>
  <c r="Z59" i="15"/>
  <c r="AA59" i="15"/>
  <c r="U37" i="15"/>
  <c r="V37" i="15"/>
  <c r="W37" i="15"/>
  <c r="X37" i="15"/>
  <c r="Y37" i="15"/>
  <c r="Z37" i="15"/>
  <c r="AA37" i="15"/>
  <c r="U38" i="15"/>
  <c r="V38" i="15"/>
  <c r="W38" i="15"/>
  <c r="X38" i="15"/>
  <c r="Y38" i="15"/>
  <c r="Z38" i="15"/>
  <c r="AA38" i="15"/>
  <c r="U39" i="15"/>
  <c r="V39" i="15"/>
  <c r="W39" i="15"/>
  <c r="X39" i="15"/>
  <c r="Y39" i="15"/>
  <c r="Z39" i="15"/>
  <c r="AA39" i="15"/>
  <c r="U40" i="15"/>
  <c r="V40" i="15"/>
  <c r="W40" i="15"/>
  <c r="X40" i="15"/>
  <c r="Y40" i="15"/>
  <c r="Z40" i="15"/>
  <c r="AA40" i="15"/>
  <c r="U41" i="15"/>
  <c r="V41" i="15"/>
  <c r="W41" i="15"/>
  <c r="X41" i="15"/>
  <c r="Y41" i="15"/>
  <c r="Z41" i="15"/>
  <c r="AA41" i="15"/>
  <c r="U42" i="15"/>
  <c r="V42" i="15"/>
  <c r="W42" i="15"/>
  <c r="X42" i="15"/>
  <c r="Y42" i="15"/>
  <c r="Z42" i="15"/>
  <c r="AA42" i="15"/>
  <c r="U43" i="15"/>
  <c r="V43" i="15"/>
  <c r="W43" i="15"/>
  <c r="X43" i="15"/>
  <c r="Y43" i="15"/>
  <c r="Z43" i="15"/>
  <c r="AA43" i="15"/>
  <c r="U44" i="15"/>
  <c r="V44" i="15"/>
  <c r="W44" i="15"/>
  <c r="X44" i="15"/>
  <c r="Y44" i="15"/>
  <c r="Z44" i="15"/>
  <c r="AA44" i="15"/>
  <c r="U45" i="15"/>
  <c r="V45" i="15"/>
  <c r="W45" i="15"/>
  <c r="X45" i="15"/>
  <c r="Y45" i="15"/>
  <c r="Z45" i="15"/>
  <c r="AA45" i="15"/>
  <c r="U46" i="15"/>
  <c r="V46" i="15"/>
  <c r="W46" i="15"/>
  <c r="X46" i="15"/>
  <c r="Y46" i="15"/>
  <c r="Z46" i="15"/>
  <c r="AA46" i="15"/>
  <c r="U47" i="15"/>
  <c r="V47" i="15"/>
  <c r="W47" i="15"/>
  <c r="X47" i="15"/>
  <c r="Y47" i="15"/>
  <c r="Z47" i="15"/>
  <c r="AA47" i="15"/>
  <c r="U48" i="15"/>
  <c r="V48" i="15"/>
  <c r="W48" i="15"/>
  <c r="X48" i="15"/>
  <c r="Y48" i="15"/>
  <c r="Z48" i="15"/>
  <c r="AA48" i="15"/>
  <c r="U49" i="15"/>
  <c r="V49" i="15"/>
  <c r="W49" i="15"/>
  <c r="X49" i="15"/>
  <c r="Y49" i="15"/>
  <c r="Z49" i="15"/>
  <c r="AA49" i="15"/>
  <c r="U50" i="15"/>
  <c r="V50" i="15"/>
  <c r="W50" i="15"/>
  <c r="X50" i="15"/>
  <c r="Y50" i="15"/>
  <c r="Z50" i="15"/>
  <c r="AA50" i="15"/>
  <c r="U51" i="15"/>
  <c r="V51" i="15"/>
  <c r="W51" i="15"/>
  <c r="X51" i="15"/>
  <c r="Y51" i="15"/>
  <c r="Z51" i="15"/>
  <c r="AA51" i="15"/>
  <c r="U52" i="15"/>
  <c r="V52" i="15"/>
  <c r="W52" i="15"/>
  <c r="X52" i="15"/>
  <c r="Y52" i="15"/>
  <c r="Z52" i="15"/>
  <c r="AA52" i="15"/>
  <c r="U53" i="15"/>
  <c r="V53" i="15"/>
  <c r="W53" i="15"/>
  <c r="X53" i="15"/>
  <c r="Y53" i="15"/>
  <c r="Z53" i="15"/>
  <c r="AA53" i="15"/>
  <c r="U54" i="15"/>
  <c r="V54" i="15"/>
  <c r="W54" i="15"/>
  <c r="X54" i="15"/>
  <c r="Y54" i="15"/>
  <c r="Z54" i="15"/>
  <c r="AA54" i="15"/>
  <c r="U55" i="15"/>
  <c r="V55" i="15"/>
  <c r="W55" i="15"/>
  <c r="X55" i="15"/>
  <c r="Y55" i="15"/>
  <c r="Z55" i="15"/>
  <c r="AA55" i="15"/>
  <c r="U56" i="15"/>
  <c r="V56" i="15"/>
  <c r="W56" i="15"/>
  <c r="X56" i="15"/>
  <c r="Y56" i="15"/>
  <c r="Z56" i="15"/>
  <c r="AA56" i="15"/>
  <c r="V35" i="15"/>
  <c r="W35" i="15"/>
  <c r="X35" i="15"/>
  <c r="Y35" i="15"/>
  <c r="Z35" i="15"/>
  <c r="AA35" i="15"/>
  <c r="V36" i="15"/>
  <c r="W36" i="15"/>
  <c r="X36" i="15"/>
  <c r="Y36" i="15"/>
  <c r="Z36" i="15"/>
  <c r="AA36" i="15"/>
  <c r="U36" i="15"/>
  <c r="U35" i="15"/>
  <c r="D803" i="15"/>
  <c r="D743" i="15"/>
  <c r="D758" i="15"/>
  <c r="D773" i="15"/>
  <c r="D788" i="15"/>
  <c r="D728" i="15"/>
  <c r="D608" i="15"/>
  <c r="D623" i="15"/>
  <c r="D563" i="15"/>
  <c r="D578" i="15"/>
  <c r="D593" i="15"/>
  <c r="D548" i="15"/>
  <c r="D383" i="15"/>
  <c r="D398" i="15"/>
  <c r="D413" i="15"/>
  <c r="D428" i="15"/>
  <c r="D443" i="15"/>
  <c r="D368" i="15"/>
  <c r="D248" i="15"/>
  <c r="D263" i="15"/>
  <c r="D203" i="15"/>
  <c r="D218" i="15"/>
  <c r="D233" i="15"/>
  <c r="D188" i="15"/>
  <c r="D68" i="15"/>
  <c r="D83" i="15"/>
  <c r="D23" i="15"/>
  <c r="D38" i="15"/>
  <c r="D53" i="15"/>
  <c r="D8" i="15"/>
  <c r="T27" i="9"/>
  <c r="U27" i="9"/>
  <c r="V27" i="9"/>
  <c r="W27" i="9"/>
  <c r="X27" i="9"/>
  <c r="Y27" i="9"/>
  <c r="T28" i="9"/>
  <c r="U28" i="9"/>
  <c r="V28" i="9"/>
  <c r="W28" i="9"/>
  <c r="X28" i="9"/>
  <c r="Y28" i="9"/>
  <c r="T29" i="9"/>
  <c r="U29" i="9"/>
  <c r="V29" i="9"/>
  <c r="W29" i="9"/>
  <c r="X29" i="9"/>
  <c r="Y29" i="9"/>
  <c r="T30" i="9"/>
  <c r="U30" i="9"/>
  <c r="V30" i="9"/>
  <c r="W30" i="9"/>
  <c r="X30" i="9"/>
  <c r="Y30" i="9"/>
  <c r="U26" i="9"/>
  <c r="V26" i="9"/>
  <c r="W26" i="9"/>
  <c r="X26" i="9"/>
  <c r="Y26" i="9"/>
  <c r="T26" i="9"/>
  <c r="S27" i="9"/>
  <c r="S28" i="9"/>
  <c r="S29" i="9"/>
  <c r="S30" i="9"/>
  <c r="S26" i="9"/>
  <c r="T21" i="9"/>
  <c r="U21" i="9"/>
  <c r="V21" i="9"/>
  <c r="W21" i="9"/>
  <c r="X21" i="9"/>
  <c r="Y21" i="9"/>
  <c r="T22" i="9"/>
  <c r="U22" i="9"/>
  <c r="V22" i="9"/>
  <c r="W22" i="9"/>
  <c r="X22" i="9"/>
  <c r="Y22" i="9"/>
  <c r="T23" i="9"/>
  <c r="U23" i="9"/>
  <c r="V23" i="9"/>
  <c r="W23" i="9"/>
  <c r="X23" i="9"/>
  <c r="Y23" i="9"/>
  <c r="T24" i="9"/>
  <c r="U24" i="9"/>
  <c r="V24" i="9"/>
  <c r="W24" i="9"/>
  <c r="X24" i="9"/>
  <c r="Y24" i="9"/>
  <c r="U20" i="9"/>
  <c r="V20" i="9"/>
  <c r="W20" i="9"/>
  <c r="X20" i="9"/>
  <c r="Y20" i="9"/>
  <c r="T20" i="9"/>
  <c r="S21" i="9"/>
  <c r="S22" i="9"/>
  <c r="S23" i="9"/>
  <c r="S24" i="9"/>
  <c r="S20" i="9"/>
  <c r="T15" i="9"/>
  <c r="U15" i="9"/>
  <c r="V15" i="9"/>
  <c r="W15" i="9"/>
  <c r="X15" i="9"/>
  <c r="Y15" i="9"/>
  <c r="T16" i="9"/>
  <c r="U16" i="9"/>
  <c r="V16" i="9"/>
  <c r="W16" i="9"/>
  <c r="X16" i="9"/>
  <c r="Y16" i="9"/>
  <c r="T17" i="9"/>
  <c r="U17" i="9"/>
  <c r="V17" i="9"/>
  <c r="W17" i="9"/>
  <c r="X17" i="9"/>
  <c r="Y17" i="9"/>
  <c r="T18" i="9"/>
  <c r="U18" i="9"/>
  <c r="V18" i="9"/>
  <c r="W18" i="9"/>
  <c r="X18" i="9"/>
  <c r="Y18" i="9"/>
  <c r="U14" i="9"/>
  <c r="V14" i="9"/>
  <c r="W14" i="9"/>
  <c r="X14" i="9"/>
  <c r="Y14" i="9"/>
  <c r="T14" i="9"/>
  <c r="S9" i="9"/>
  <c r="S10" i="9"/>
  <c r="S11" i="9"/>
  <c r="S12" i="9"/>
  <c r="S18" i="9" s="1"/>
  <c r="S8" i="9"/>
  <c r="S15" i="9"/>
  <c r="S16" i="9"/>
  <c r="S17" i="9"/>
  <c r="S14" i="9"/>
  <c r="V9" i="9"/>
  <c r="W9" i="9"/>
  <c r="X9" i="9"/>
  <c r="Y9" i="9"/>
  <c r="V10" i="9"/>
  <c r="W10" i="9"/>
  <c r="X10" i="9"/>
  <c r="Y10" i="9"/>
  <c r="V11" i="9"/>
  <c r="W11" i="9"/>
  <c r="X11" i="9"/>
  <c r="Y11" i="9"/>
  <c r="V12" i="9"/>
  <c r="W12" i="9"/>
  <c r="X12" i="9"/>
  <c r="Y12" i="9"/>
  <c r="Y8" i="9"/>
  <c r="X8" i="9"/>
  <c r="W8" i="9"/>
  <c r="V8" i="9"/>
  <c r="U9" i="9"/>
  <c r="U10" i="9"/>
  <c r="U11" i="9"/>
  <c r="U12" i="9"/>
  <c r="U8" i="9"/>
  <c r="T9" i="9"/>
  <c r="T10" i="9"/>
  <c r="T11" i="9"/>
  <c r="T12" i="9"/>
  <c r="T8" i="9"/>
  <c r="E878" i="15"/>
  <c r="H164" i="13"/>
  <c r="L880" i="15" s="1"/>
  <c r="H166" i="13"/>
  <c r="L882" i="15" s="1"/>
  <c r="H167" i="13"/>
  <c r="L883" i="15" s="1"/>
  <c r="H168" i="13"/>
  <c r="L884" i="15" s="1"/>
  <c r="H169" i="13"/>
  <c r="L885" i="15" s="1"/>
  <c r="H170" i="13"/>
  <c r="L886" i="15" s="1"/>
  <c r="H171" i="13"/>
  <c r="L887" i="15" s="1"/>
  <c r="H172" i="13"/>
  <c r="L888" i="15" s="1"/>
  <c r="H173" i="13"/>
  <c r="L889" i="15" s="1"/>
  <c r="H174" i="13"/>
  <c r="L890" i="15" s="1"/>
  <c r="H175" i="13"/>
  <c r="L891" i="15" s="1"/>
  <c r="H176" i="13"/>
  <c r="L892" i="15" s="1"/>
  <c r="E893" i="15"/>
  <c r="H179" i="13"/>
  <c r="L895" i="15" s="1"/>
  <c r="H181" i="13"/>
  <c r="L897" i="15" s="1"/>
  <c r="H182" i="13"/>
  <c r="L898" i="15" s="1"/>
  <c r="H183" i="13"/>
  <c r="L899" i="15" s="1"/>
  <c r="H184" i="13"/>
  <c r="L900" i="15" s="1"/>
  <c r="H185" i="13"/>
  <c r="L901" i="15" s="1"/>
  <c r="H186" i="13"/>
  <c r="L902" i="15" s="1"/>
  <c r="H187" i="13"/>
  <c r="L903" i="15" s="1"/>
  <c r="H188" i="13"/>
  <c r="L904" i="15" s="1"/>
  <c r="H189" i="13"/>
  <c r="L905" i="15" s="1"/>
  <c r="H190" i="13"/>
  <c r="L906" i="15" s="1"/>
  <c r="H191" i="13"/>
  <c r="L907" i="15" s="1"/>
  <c r="H101" i="13"/>
  <c r="L817" i="15" s="1"/>
  <c r="E788" i="15"/>
  <c r="G72" i="13"/>
  <c r="H72" i="13"/>
  <c r="L788" i="15" s="1"/>
  <c r="H74" i="13"/>
  <c r="L790" i="15" s="1"/>
  <c r="H76" i="13"/>
  <c r="L792" i="15" s="1"/>
  <c r="H77" i="13"/>
  <c r="L793" i="15" s="1"/>
  <c r="H78" i="13"/>
  <c r="L794" i="15" s="1"/>
  <c r="H79" i="13"/>
  <c r="L795" i="15" s="1"/>
  <c r="H80" i="13"/>
  <c r="L796" i="15" s="1"/>
  <c r="H81" i="13"/>
  <c r="L797" i="15" s="1"/>
  <c r="H82" i="13"/>
  <c r="L798" i="15" s="1"/>
  <c r="H83" i="13"/>
  <c r="L799" i="15" s="1"/>
  <c r="H84" i="13"/>
  <c r="L800" i="15" s="1"/>
  <c r="H85" i="13"/>
  <c r="L801" i="15" s="1"/>
  <c r="H86" i="13"/>
  <c r="L802" i="15" s="1"/>
  <c r="E803" i="15"/>
  <c r="G87" i="13"/>
  <c r="H88" i="13"/>
  <c r="L804" i="15" s="1"/>
  <c r="H90" i="13"/>
  <c r="L806" i="15" s="1"/>
  <c r="H91" i="13"/>
  <c r="L807" i="15" s="1"/>
  <c r="H92" i="13"/>
  <c r="L808" i="15" s="1"/>
  <c r="H93" i="13"/>
  <c r="L809" i="15" s="1"/>
  <c r="H94" i="13"/>
  <c r="L810" i="15" s="1"/>
  <c r="H95" i="13"/>
  <c r="L811" i="15" s="1"/>
  <c r="H96" i="13"/>
  <c r="L812" i="15" s="1"/>
  <c r="H97" i="13"/>
  <c r="L813" i="15" s="1"/>
  <c r="H98" i="13"/>
  <c r="L814" i="15" s="1"/>
  <c r="H99" i="13"/>
  <c r="L815" i="15" s="1"/>
  <c r="H100" i="13"/>
  <c r="L816" i="15" s="1"/>
  <c r="E698" i="15"/>
  <c r="H164" i="12"/>
  <c r="L700" i="15" s="1"/>
  <c r="H166" i="12"/>
  <c r="L702" i="15" s="1"/>
  <c r="H167" i="12"/>
  <c r="L703" i="15" s="1"/>
  <c r="H168" i="12"/>
  <c r="L704" i="15" s="1"/>
  <c r="H169" i="12"/>
  <c r="L705" i="15" s="1"/>
  <c r="H170" i="12"/>
  <c r="L706" i="15" s="1"/>
  <c r="H171" i="12"/>
  <c r="L707" i="15" s="1"/>
  <c r="H172" i="12"/>
  <c r="L708" i="15" s="1"/>
  <c r="H173" i="12"/>
  <c r="L709" i="15" s="1"/>
  <c r="H174" i="12"/>
  <c r="L710" i="15" s="1"/>
  <c r="H175" i="12"/>
  <c r="L711" i="15" s="1"/>
  <c r="H176" i="12"/>
  <c r="L712" i="15" s="1"/>
  <c r="E713" i="15"/>
  <c r="H179" i="12"/>
  <c r="L715" i="15" s="1"/>
  <c r="H181" i="12"/>
  <c r="L717" i="15" s="1"/>
  <c r="H182" i="12"/>
  <c r="L718" i="15" s="1"/>
  <c r="H183" i="12"/>
  <c r="L719" i="15" s="1"/>
  <c r="H184" i="12"/>
  <c r="L720" i="15" s="1"/>
  <c r="H185" i="12"/>
  <c r="L721" i="15" s="1"/>
  <c r="H186" i="12"/>
  <c r="L722" i="15" s="1"/>
  <c r="H187" i="12"/>
  <c r="L723" i="15" s="1"/>
  <c r="H188" i="12"/>
  <c r="L724" i="15" s="1"/>
  <c r="H189" i="12"/>
  <c r="L725" i="15" s="1"/>
  <c r="H190" i="12"/>
  <c r="L726" i="15" s="1"/>
  <c r="H191" i="12"/>
  <c r="L727" i="15" s="1"/>
  <c r="E608" i="15"/>
  <c r="H76" i="12"/>
  <c r="L612" i="15" s="1"/>
  <c r="H77" i="12"/>
  <c r="L613" i="15" s="1"/>
  <c r="H78" i="12"/>
  <c r="L614" i="15" s="1"/>
  <c r="H79" i="12"/>
  <c r="L615" i="15" s="1"/>
  <c r="H80" i="12"/>
  <c r="L616" i="15" s="1"/>
  <c r="H81" i="12"/>
  <c r="L617" i="15" s="1"/>
  <c r="H82" i="12"/>
  <c r="L618" i="15" s="1"/>
  <c r="H83" i="12"/>
  <c r="L619" i="15" s="1"/>
  <c r="H84" i="12"/>
  <c r="L620" i="15" s="1"/>
  <c r="H85" i="12"/>
  <c r="L621" i="15" s="1"/>
  <c r="H86" i="12"/>
  <c r="L622" i="15" s="1"/>
  <c r="E623" i="15"/>
  <c r="H88" i="12"/>
  <c r="L624" i="15" s="1"/>
  <c r="H90" i="12"/>
  <c r="L626" i="15" s="1"/>
  <c r="H91" i="12"/>
  <c r="L627" i="15" s="1"/>
  <c r="H92" i="12"/>
  <c r="L628" i="15" s="1"/>
  <c r="H93" i="12"/>
  <c r="L629" i="15" s="1"/>
  <c r="H94" i="12"/>
  <c r="L630" i="15" s="1"/>
  <c r="H95" i="12"/>
  <c r="L631" i="15" s="1"/>
  <c r="H96" i="12"/>
  <c r="L632" i="15" s="1"/>
  <c r="H97" i="12"/>
  <c r="L633" i="15" s="1"/>
  <c r="H98" i="12"/>
  <c r="L634" i="15" s="1"/>
  <c r="H99" i="12"/>
  <c r="L635" i="15" s="1"/>
  <c r="H100" i="12"/>
  <c r="L636" i="15" s="1"/>
  <c r="H101" i="12"/>
  <c r="L637" i="15" s="1"/>
  <c r="H188" i="11"/>
  <c r="L544" i="15" s="1"/>
  <c r="H189" i="11"/>
  <c r="L545" i="15" s="1"/>
  <c r="H190" i="11"/>
  <c r="L546" i="15" s="1"/>
  <c r="H191" i="11"/>
  <c r="L547" i="15" s="1"/>
  <c r="E518" i="15"/>
  <c r="H164" i="11"/>
  <c r="L520" i="15" s="1"/>
  <c r="H166" i="11"/>
  <c r="L522" i="15" s="1"/>
  <c r="H167" i="11"/>
  <c r="L523" i="15" s="1"/>
  <c r="H168" i="11"/>
  <c r="L524" i="15" s="1"/>
  <c r="H169" i="11"/>
  <c r="L525" i="15" s="1"/>
  <c r="H170" i="11"/>
  <c r="L526" i="15" s="1"/>
  <c r="H171" i="11"/>
  <c r="L527" i="15" s="1"/>
  <c r="H172" i="11"/>
  <c r="L528" i="15" s="1"/>
  <c r="H173" i="11"/>
  <c r="L529" i="15" s="1"/>
  <c r="H174" i="11"/>
  <c r="L530" i="15" s="1"/>
  <c r="H175" i="11"/>
  <c r="L531" i="15" s="1"/>
  <c r="H176" i="11"/>
  <c r="L532" i="15" s="1"/>
  <c r="E533" i="15"/>
  <c r="H181" i="11"/>
  <c r="L537" i="15" s="1"/>
  <c r="H182" i="11"/>
  <c r="L538" i="15" s="1"/>
  <c r="H183" i="11"/>
  <c r="L539" i="15" s="1"/>
  <c r="H184" i="11"/>
  <c r="L540" i="15" s="1"/>
  <c r="H185" i="11"/>
  <c r="L541" i="15" s="1"/>
  <c r="H186" i="11"/>
  <c r="L542" i="15" s="1"/>
  <c r="H187" i="11"/>
  <c r="L543" i="15" s="1"/>
  <c r="H97" i="11"/>
  <c r="L453" i="15" s="1"/>
  <c r="H98" i="11"/>
  <c r="L454" i="15" s="1"/>
  <c r="H99" i="11"/>
  <c r="L455" i="15" s="1"/>
  <c r="H100" i="11"/>
  <c r="L456" i="15" s="1"/>
  <c r="H101" i="11"/>
  <c r="L457" i="15" s="1"/>
  <c r="E428" i="15"/>
  <c r="G72" i="11"/>
  <c r="H76" i="11"/>
  <c r="L432" i="15" s="1"/>
  <c r="H77" i="11"/>
  <c r="L433" i="15" s="1"/>
  <c r="H78" i="11"/>
  <c r="L434" i="15" s="1"/>
  <c r="H79" i="11"/>
  <c r="L435" i="15" s="1"/>
  <c r="H80" i="11"/>
  <c r="L436" i="15" s="1"/>
  <c r="H81" i="11"/>
  <c r="L437" i="15" s="1"/>
  <c r="H82" i="11"/>
  <c r="L438" i="15" s="1"/>
  <c r="H83" i="11"/>
  <c r="L439" i="15" s="1"/>
  <c r="H84" i="11"/>
  <c r="L440" i="15" s="1"/>
  <c r="H85" i="11"/>
  <c r="L441" i="15" s="1"/>
  <c r="H86" i="11"/>
  <c r="L442" i="15" s="1"/>
  <c r="E443" i="15"/>
  <c r="G87" i="11"/>
  <c r="H91" i="11"/>
  <c r="L447" i="15" s="1"/>
  <c r="H92" i="11"/>
  <c r="L448" i="15" s="1"/>
  <c r="H93" i="11"/>
  <c r="L449" i="15" s="1"/>
  <c r="H94" i="11"/>
  <c r="L450" i="15" s="1"/>
  <c r="H95" i="11"/>
  <c r="L451" i="15" s="1"/>
  <c r="H96" i="11"/>
  <c r="L452" i="15" s="1"/>
  <c r="E338" i="15"/>
  <c r="H166" i="10"/>
  <c r="L342" i="15" s="1"/>
  <c r="H167" i="10"/>
  <c r="L343" i="15" s="1"/>
  <c r="H168" i="10"/>
  <c r="L344" i="15" s="1"/>
  <c r="H169" i="10"/>
  <c r="L345" i="15" s="1"/>
  <c r="H170" i="10"/>
  <c r="L346" i="15" s="1"/>
  <c r="H171" i="10"/>
  <c r="L347" i="15" s="1"/>
  <c r="H172" i="10"/>
  <c r="L348" i="15" s="1"/>
  <c r="H173" i="10"/>
  <c r="L349" i="15" s="1"/>
  <c r="H174" i="10"/>
  <c r="L350" i="15" s="1"/>
  <c r="H175" i="10"/>
  <c r="L351" i="15" s="1"/>
  <c r="H176" i="10"/>
  <c r="L352" i="15" s="1"/>
  <c r="E353" i="15"/>
  <c r="H181" i="10"/>
  <c r="L357" i="15" s="1"/>
  <c r="H182" i="10"/>
  <c r="L358" i="15" s="1"/>
  <c r="H183" i="10"/>
  <c r="L359" i="15" s="1"/>
  <c r="H184" i="10"/>
  <c r="L360" i="15" s="1"/>
  <c r="H185" i="10"/>
  <c r="L361" i="15" s="1"/>
  <c r="H186" i="10"/>
  <c r="L362" i="15" s="1"/>
  <c r="H187" i="10"/>
  <c r="L363" i="15" s="1"/>
  <c r="H188" i="10"/>
  <c r="L364" i="15" s="1"/>
  <c r="H189" i="10"/>
  <c r="L365" i="15" s="1"/>
  <c r="H190" i="10"/>
  <c r="L366" i="15" s="1"/>
  <c r="H191" i="10"/>
  <c r="L367" i="15" s="1"/>
  <c r="G72" i="10"/>
  <c r="H76" i="10"/>
  <c r="L252" i="15" s="1"/>
  <c r="H77" i="10"/>
  <c r="L253" i="15" s="1"/>
  <c r="H78" i="10"/>
  <c r="L254" i="15" s="1"/>
  <c r="H79" i="10"/>
  <c r="L255" i="15" s="1"/>
  <c r="H80" i="10"/>
  <c r="L256" i="15" s="1"/>
  <c r="H81" i="10"/>
  <c r="L257" i="15" s="1"/>
  <c r="H82" i="10"/>
  <c r="L258" i="15" s="1"/>
  <c r="H83" i="10"/>
  <c r="L259" i="15" s="1"/>
  <c r="H84" i="10"/>
  <c r="L260" i="15" s="1"/>
  <c r="H85" i="10"/>
  <c r="L261" i="15" s="1"/>
  <c r="H86" i="10"/>
  <c r="L262" i="15" s="1"/>
  <c r="G87" i="10"/>
  <c r="H88" i="10"/>
  <c r="L264" i="15" s="1"/>
  <c r="H90" i="10"/>
  <c r="L266" i="15" s="1"/>
  <c r="H91" i="10"/>
  <c r="L267" i="15" s="1"/>
  <c r="H92" i="10"/>
  <c r="L268" i="15" s="1"/>
  <c r="H93" i="10"/>
  <c r="L269" i="15" s="1"/>
  <c r="H94" i="10"/>
  <c r="L270" i="15" s="1"/>
  <c r="H95" i="10"/>
  <c r="L271" i="15" s="1"/>
  <c r="H96" i="10"/>
  <c r="L272" i="15" s="1"/>
  <c r="H97" i="10"/>
  <c r="L273" i="15" s="1"/>
  <c r="H98" i="10"/>
  <c r="L274" i="15" s="1"/>
  <c r="H99" i="10"/>
  <c r="L275" i="15" s="1"/>
  <c r="H100" i="10"/>
  <c r="L276" i="15" s="1"/>
  <c r="H101" i="10"/>
  <c r="L277" i="15" s="1"/>
  <c r="E263" i="15"/>
  <c r="E248" i="15"/>
  <c r="H183" i="14"/>
  <c r="L179" i="15" s="1"/>
  <c r="H184" i="14"/>
  <c r="L180" i="15" s="1"/>
  <c r="H185" i="14"/>
  <c r="L181" i="15" s="1"/>
  <c r="H186" i="14"/>
  <c r="L182" i="15" s="1"/>
  <c r="H187" i="14"/>
  <c r="L183" i="15" s="1"/>
  <c r="H188" i="14"/>
  <c r="L184" i="15" s="1"/>
  <c r="H189" i="14"/>
  <c r="L185" i="15" s="1"/>
  <c r="H190" i="14"/>
  <c r="L186" i="15" s="1"/>
  <c r="H191" i="14"/>
  <c r="L187" i="15" s="1"/>
  <c r="E158" i="15"/>
  <c r="H166" i="14"/>
  <c r="L162" i="15" s="1"/>
  <c r="H167" i="14"/>
  <c r="L163" i="15" s="1"/>
  <c r="H168" i="14"/>
  <c r="L164" i="15" s="1"/>
  <c r="H169" i="14"/>
  <c r="L165" i="15" s="1"/>
  <c r="H170" i="14"/>
  <c r="L166" i="15" s="1"/>
  <c r="H171" i="14"/>
  <c r="L167" i="15" s="1"/>
  <c r="H172" i="14"/>
  <c r="L168" i="15" s="1"/>
  <c r="H173" i="14"/>
  <c r="L169" i="15" s="1"/>
  <c r="H174" i="14"/>
  <c r="L170" i="15" s="1"/>
  <c r="H175" i="14"/>
  <c r="L171" i="15" s="1"/>
  <c r="H176" i="14"/>
  <c r="L172" i="15" s="1"/>
  <c r="E173" i="15"/>
  <c r="H181" i="14"/>
  <c r="L177" i="15" s="1"/>
  <c r="H182" i="14"/>
  <c r="L178" i="15" s="1"/>
  <c r="G57" i="14"/>
  <c r="H76" i="14"/>
  <c r="L72" i="15" s="1"/>
  <c r="H77" i="14"/>
  <c r="L73" i="15" s="1"/>
  <c r="H78" i="14"/>
  <c r="L74" i="15" s="1"/>
  <c r="H79" i="14"/>
  <c r="L75" i="15" s="1"/>
  <c r="H80" i="14"/>
  <c r="L76" i="15" s="1"/>
  <c r="H81" i="14"/>
  <c r="L77" i="15" s="1"/>
  <c r="H82" i="14"/>
  <c r="L78" i="15" s="1"/>
  <c r="H83" i="14"/>
  <c r="L79" i="15" s="1"/>
  <c r="H84" i="14"/>
  <c r="L80" i="15" s="1"/>
  <c r="H85" i="14"/>
  <c r="L81" i="15" s="1"/>
  <c r="H86" i="14"/>
  <c r="L82" i="15" s="1"/>
  <c r="H91" i="14"/>
  <c r="L87" i="15" s="1"/>
  <c r="H92" i="14"/>
  <c r="L88" i="15" s="1"/>
  <c r="H93" i="14"/>
  <c r="L89" i="15" s="1"/>
  <c r="H94" i="14"/>
  <c r="L90" i="15" s="1"/>
  <c r="H95" i="14"/>
  <c r="L91" i="15" s="1"/>
  <c r="H96" i="14"/>
  <c r="L92" i="15" s="1"/>
  <c r="H97" i="14"/>
  <c r="L93" i="15" s="1"/>
  <c r="H98" i="14"/>
  <c r="L94" i="15" s="1"/>
  <c r="H99" i="14"/>
  <c r="L95" i="15" s="1"/>
  <c r="H100" i="14"/>
  <c r="L96" i="15" s="1"/>
  <c r="H101" i="14"/>
  <c r="L97" i="15" s="1"/>
  <c r="E83" i="15"/>
  <c r="E68" i="15"/>
  <c r="H178" i="12"/>
  <c r="L714" i="15" s="1"/>
  <c r="H179" i="11"/>
  <c r="L535" i="15" s="1"/>
  <c r="H180" i="13"/>
  <c r="L896" i="15" s="1"/>
  <c r="C191" i="9"/>
  <c r="D202" i="9"/>
  <c r="C202" i="9"/>
  <c r="D201" i="9"/>
  <c r="C201" i="9"/>
  <c r="D200" i="9"/>
  <c r="C200" i="9"/>
  <c r="D199" i="9"/>
  <c r="C199" i="9"/>
  <c r="D198" i="9"/>
  <c r="C198" i="9"/>
  <c r="D197" i="9"/>
  <c r="C197" i="9"/>
  <c r="D196" i="9"/>
  <c r="C196" i="9"/>
  <c r="D195" i="9"/>
  <c r="C195" i="9"/>
  <c r="D194" i="9"/>
  <c r="C194" i="9"/>
  <c r="D193" i="9"/>
  <c r="C193" i="9"/>
  <c r="D192" i="9"/>
  <c r="C192" i="9"/>
  <c r="D191" i="9"/>
  <c r="D190" i="9"/>
  <c r="C190" i="9"/>
  <c r="D189" i="9"/>
  <c r="C189" i="9"/>
  <c r="D188" i="9"/>
  <c r="C188" i="9"/>
  <c r="B202" i="9"/>
  <c r="B201" i="9"/>
  <c r="B200" i="9"/>
  <c r="B199" i="9"/>
  <c r="B198" i="9"/>
  <c r="B197" i="9"/>
  <c r="B196" i="9"/>
  <c r="B195" i="9"/>
  <c r="B194" i="9"/>
  <c r="B193" i="9"/>
  <c r="B192" i="9"/>
  <c r="B191" i="9"/>
  <c r="B190" i="9"/>
  <c r="B189" i="9"/>
  <c r="D187" i="9"/>
  <c r="C187" i="9"/>
  <c r="D186" i="9"/>
  <c r="C186" i="9"/>
  <c r="D185" i="9"/>
  <c r="C185" i="9"/>
  <c r="D184" i="9"/>
  <c r="C184" i="9"/>
  <c r="D183" i="9"/>
  <c r="C183" i="9"/>
  <c r="D182" i="9"/>
  <c r="C182" i="9"/>
  <c r="D181" i="9"/>
  <c r="C181" i="9"/>
  <c r="D180" i="9"/>
  <c r="C180" i="9"/>
  <c r="D179" i="9"/>
  <c r="C179" i="9"/>
  <c r="D178" i="9"/>
  <c r="C178" i="9"/>
  <c r="D177" i="9"/>
  <c r="C177" i="9"/>
  <c r="D176" i="9"/>
  <c r="C176" i="9"/>
  <c r="D175" i="9"/>
  <c r="C175" i="9"/>
  <c r="D174" i="9"/>
  <c r="C174" i="9"/>
  <c r="D173" i="9"/>
  <c r="C173" i="9"/>
  <c r="B187" i="9"/>
  <c r="B186" i="9"/>
  <c r="B185" i="9"/>
  <c r="B184" i="9"/>
  <c r="B183" i="9"/>
  <c r="B182" i="9"/>
  <c r="B181" i="9"/>
  <c r="B180" i="9"/>
  <c r="B179" i="9"/>
  <c r="B178" i="9"/>
  <c r="B177" i="9"/>
  <c r="B176" i="9"/>
  <c r="B175" i="9"/>
  <c r="B174" i="9"/>
  <c r="H165" i="10"/>
  <c r="L341" i="15" s="1"/>
  <c r="H164" i="10"/>
  <c r="L340" i="15" s="1"/>
  <c r="H163" i="13"/>
  <c r="L879" i="15" s="1"/>
  <c r="D112" i="9"/>
  <c r="D111" i="9"/>
  <c r="D110" i="9"/>
  <c r="D109" i="9"/>
  <c r="D108" i="9"/>
  <c r="D107" i="9"/>
  <c r="D106" i="9"/>
  <c r="D105" i="9"/>
  <c r="D104" i="9"/>
  <c r="D103" i="9"/>
  <c r="D102" i="9"/>
  <c r="D101" i="9"/>
  <c r="D100" i="9"/>
  <c r="D99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B111" i="9"/>
  <c r="B107" i="9"/>
  <c r="B103" i="9"/>
  <c r="B99" i="9"/>
  <c r="B112" i="9"/>
  <c r="H90" i="11"/>
  <c r="L446" i="15" s="1"/>
  <c r="H89" i="12"/>
  <c r="L625" i="15" s="1"/>
  <c r="H88" i="11"/>
  <c r="L444" i="15" s="1"/>
  <c r="H87" i="13"/>
  <c r="L803" i="15" s="1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84" i="9"/>
  <c r="B94" i="9"/>
  <c r="B90" i="9"/>
  <c r="B86" i="9"/>
  <c r="B95" i="9"/>
  <c r="H75" i="13"/>
  <c r="L791" i="15" s="1"/>
  <c r="H74" i="12"/>
  <c r="L610" i="15" s="1"/>
  <c r="H73" i="11"/>
  <c r="L429" i="15" s="1"/>
  <c r="H72" i="11"/>
  <c r="L428" i="15" s="1"/>
  <c r="W7" i="9"/>
  <c r="V7" i="9"/>
  <c r="U7" i="9"/>
  <c r="T7" i="9"/>
  <c r="U21" i="4"/>
  <c r="V21" i="4"/>
  <c r="W21" i="4"/>
  <c r="U22" i="4"/>
  <c r="V22" i="4"/>
  <c r="W22" i="4"/>
  <c r="U23" i="4"/>
  <c r="V23" i="4"/>
  <c r="W23" i="4"/>
  <c r="U24" i="4"/>
  <c r="V24" i="4"/>
  <c r="W24" i="4"/>
  <c r="V20" i="4"/>
  <c r="W20" i="4"/>
  <c r="U20" i="4"/>
  <c r="V13" i="4"/>
  <c r="V14" i="4"/>
  <c r="V15" i="4"/>
  <c r="V16" i="4"/>
  <c r="V12" i="4"/>
  <c r="U13" i="4"/>
  <c r="U14" i="4"/>
  <c r="U15" i="4"/>
  <c r="U16" i="4"/>
  <c r="U12" i="4"/>
  <c r="T28" i="1"/>
  <c r="U28" i="1"/>
  <c r="V28" i="1"/>
  <c r="T29" i="1"/>
  <c r="V7" i="4" s="1"/>
  <c r="U29" i="1"/>
  <c r="V29" i="1"/>
  <c r="T30" i="1"/>
  <c r="U30" i="1"/>
  <c r="V30" i="1"/>
  <c r="T31" i="1"/>
  <c r="V9" i="4" s="1"/>
  <c r="U31" i="1"/>
  <c r="V31" i="1"/>
  <c r="V27" i="1"/>
  <c r="U27" i="1"/>
  <c r="T27" i="1"/>
  <c r="T22" i="1"/>
  <c r="U22" i="1"/>
  <c r="V22" i="1"/>
  <c r="U7" i="4"/>
  <c r="U23" i="1"/>
  <c r="V23" i="1"/>
  <c r="T24" i="1"/>
  <c r="U24" i="1"/>
  <c r="V24" i="1"/>
  <c r="T25" i="1"/>
  <c r="U9" i="4" s="1"/>
  <c r="U25" i="1"/>
  <c r="V25" i="1"/>
  <c r="V21" i="1"/>
  <c r="U21" i="1"/>
  <c r="T21" i="1"/>
  <c r="T16" i="1"/>
  <c r="U16" i="1"/>
  <c r="V16" i="1"/>
  <c r="T17" i="1"/>
  <c r="U17" i="1"/>
  <c r="V17" i="1"/>
  <c r="T18" i="1"/>
  <c r="U18" i="1"/>
  <c r="V18" i="1"/>
  <c r="T19" i="1"/>
  <c r="U19" i="1"/>
  <c r="V19" i="1"/>
  <c r="U15" i="1"/>
  <c r="V15" i="1"/>
  <c r="T15" i="1"/>
  <c r="V8" i="4"/>
  <c r="V6" i="4"/>
  <c r="V5" i="4"/>
  <c r="U6" i="4"/>
  <c r="U8" i="4"/>
  <c r="U5" i="4"/>
  <c r="V10" i="1"/>
  <c r="V11" i="1"/>
  <c r="V12" i="1"/>
  <c r="V13" i="1"/>
  <c r="V9" i="1"/>
  <c r="U10" i="1"/>
  <c r="U11" i="1"/>
  <c r="U12" i="1"/>
  <c r="U13" i="1"/>
  <c r="U9" i="1"/>
  <c r="T10" i="1"/>
  <c r="T11" i="1"/>
  <c r="T12" i="1"/>
  <c r="T13" i="1"/>
  <c r="T9" i="1"/>
  <c r="I6" i="8"/>
  <c r="X24" i="15"/>
  <c r="V24" i="15"/>
  <c r="X23" i="15"/>
  <c r="X22" i="15"/>
  <c r="X21" i="15"/>
  <c r="X20" i="15"/>
  <c r="W17" i="15"/>
  <c r="V17" i="15"/>
  <c r="V16" i="15"/>
  <c r="V15" i="15"/>
  <c r="V14" i="15"/>
  <c r="V13" i="15"/>
  <c r="W9" i="15"/>
  <c r="W8" i="15"/>
  <c r="W16" i="15" s="1"/>
  <c r="W7" i="15"/>
  <c r="W15" i="15" s="1"/>
  <c r="W6" i="15"/>
  <c r="W14" i="15" s="1"/>
  <c r="W5" i="15"/>
  <c r="W13" i="15" s="1"/>
  <c r="J4" i="15"/>
  <c r="G4" i="15"/>
  <c r="G5" i="15" s="1"/>
  <c r="F4" i="15"/>
  <c r="O59" i="18" l="1"/>
  <c r="O56" i="18"/>
  <c r="C51" i="3" s="1"/>
  <c r="O60" i="18"/>
  <c r="O49" i="18"/>
  <c r="C44" i="3" s="1"/>
  <c r="Q53" i="18"/>
  <c r="C65" i="3" s="1"/>
  <c r="Q66" i="18"/>
  <c r="I63" i="3" s="1"/>
  <c r="O70" i="18"/>
  <c r="I50" i="3" s="1"/>
  <c r="O58" i="18"/>
  <c r="O53" i="18"/>
  <c r="C48" i="3" s="1"/>
  <c r="Q71" i="18"/>
  <c r="I68" i="3" s="1"/>
  <c r="P74" i="18"/>
  <c r="O67" i="18"/>
  <c r="I47" i="3" s="1"/>
  <c r="O57" i="18"/>
  <c r="C52" i="3" s="1"/>
  <c r="O69" i="18"/>
  <c r="I49" i="3" s="1"/>
  <c r="Q59" i="18"/>
  <c r="Q75" i="18"/>
  <c r="Q72" i="18"/>
  <c r="Q49" i="18"/>
  <c r="C61" i="3" s="1"/>
  <c r="Q58" i="18"/>
  <c r="Q69" i="18"/>
  <c r="I66" i="3" s="1"/>
  <c r="P75" i="18"/>
  <c r="P52" i="18"/>
  <c r="C56" i="3" s="1"/>
  <c r="P68" i="18"/>
  <c r="I57" i="3" s="1"/>
  <c r="Q50" i="18"/>
  <c r="C62" i="3" s="1"/>
  <c r="P54" i="18"/>
  <c r="C58" i="3" s="1"/>
  <c r="P72" i="18"/>
  <c r="P50" i="18"/>
  <c r="C54" i="3" s="1"/>
  <c r="P56" i="18"/>
  <c r="C60" i="3" s="1"/>
  <c r="P64" i="18"/>
  <c r="I53" i="3" s="1"/>
  <c r="P66" i="18"/>
  <c r="I55" i="3" s="1"/>
  <c r="P70" i="18"/>
  <c r="I59" i="3" s="1"/>
  <c r="Q55" i="18"/>
  <c r="C67" i="3" s="1"/>
  <c r="P73" i="18"/>
  <c r="B183" i="12"/>
  <c r="E719" i="15" s="1"/>
  <c r="B183" i="10"/>
  <c r="E359" i="15" s="1"/>
  <c r="B183" i="14"/>
  <c r="E179" i="15" s="1"/>
  <c r="B183" i="13"/>
  <c r="E899" i="15" s="1"/>
  <c r="B183" i="11"/>
  <c r="E539" i="15" s="1"/>
  <c r="B176" i="13"/>
  <c r="E892" i="15" s="1"/>
  <c r="B176" i="11"/>
  <c r="B176" i="12"/>
  <c r="E712" i="15" s="1"/>
  <c r="B176" i="10"/>
  <c r="B176" i="14"/>
  <c r="E172" i="15" s="1"/>
  <c r="B170" i="13"/>
  <c r="E886" i="15" s="1"/>
  <c r="B170" i="11"/>
  <c r="E526" i="15" s="1"/>
  <c r="H526" i="15" s="1"/>
  <c r="B170" i="10"/>
  <c r="E346" i="15" s="1"/>
  <c r="B170" i="14"/>
  <c r="B170" i="12"/>
  <c r="E706" i="15" s="1"/>
  <c r="H706" i="15" s="1"/>
  <c r="E537" i="15"/>
  <c r="G537" i="15" s="1"/>
  <c r="B181" i="12"/>
  <c r="B181" i="10"/>
  <c r="E357" i="15" s="1"/>
  <c r="B181" i="14"/>
  <c r="E177" i="15" s="1"/>
  <c r="H177" i="15" s="1"/>
  <c r="B181" i="11"/>
  <c r="B181" i="13"/>
  <c r="E897" i="15" s="1"/>
  <c r="B189" i="12"/>
  <c r="E725" i="15" s="1"/>
  <c r="B189" i="10"/>
  <c r="E365" i="15" s="1"/>
  <c r="B189" i="14"/>
  <c r="E185" i="15" s="1"/>
  <c r="B189" i="11"/>
  <c r="B189" i="13"/>
  <c r="E905" i="15" s="1"/>
  <c r="H905" i="15" s="1"/>
  <c r="E880" i="15"/>
  <c r="G880" i="15" s="1"/>
  <c r="B164" i="11"/>
  <c r="E520" i="15" s="1"/>
  <c r="B164" i="13"/>
  <c r="B164" i="12"/>
  <c r="E700" i="15" s="1"/>
  <c r="H700" i="15" s="1"/>
  <c r="B164" i="10"/>
  <c r="B164" i="14"/>
  <c r="B174" i="13"/>
  <c r="B174" i="11"/>
  <c r="E530" i="15" s="1"/>
  <c r="B174" i="12"/>
  <c r="E710" i="15" s="1"/>
  <c r="G710" i="15" s="1"/>
  <c r="B174" i="14"/>
  <c r="B174" i="10"/>
  <c r="E350" i="15" s="1"/>
  <c r="B187" i="12"/>
  <c r="E723" i="15" s="1"/>
  <c r="B187" i="10"/>
  <c r="E363" i="15" s="1"/>
  <c r="G363" i="15" s="1"/>
  <c r="B187" i="14"/>
  <c r="E183" i="15" s="1"/>
  <c r="B187" i="11"/>
  <c r="E543" i="15" s="1"/>
  <c r="B187" i="13"/>
  <c r="E903" i="15" s="1"/>
  <c r="B163" i="12"/>
  <c r="B163" i="10"/>
  <c r="B163" i="14"/>
  <c r="E159" i="15" s="1"/>
  <c r="G159" i="15" s="1"/>
  <c r="B163" i="11"/>
  <c r="E519" i="15" s="1"/>
  <c r="H519" i="15" s="1"/>
  <c r="B163" i="13"/>
  <c r="E879" i="15" s="1"/>
  <c r="B171" i="12"/>
  <c r="B171" i="10"/>
  <c r="B171" i="14"/>
  <c r="E167" i="15" s="1"/>
  <c r="G167" i="15" s="1"/>
  <c r="B171" i="11"/>
  <c r="B171" i="13"/>
  <c r="E887" i="15" s="1"/>
  <c r="B182" i="13"/>
  <c r="E898" i="15" s="1"/>
  <c r="B182" i="11"/>
  <c r="E538" i="15" s="1"/>
  <c r="G538" i="15" s="1"/>
  <c r="B182" i="12"/>
  <c r="E718" i="15" s="1"/>
  <c r="B182" i="10"/>
  <c r="B182" i="14"/>
  <c r="E178" i="15" s="1"/>
  <c r="B190" i="13"/>
  <c r="B190" i="11"/>
  <c r="B190" i="12"/>
  <c r="E726" i="15" s="1"/>
  <c r="B190" i="10"/>
  <c r="B190" i="14"/>
  <c r="E186" i="15" s="1"/>
  <c r="B191" i="12"/>
  <c r="E727" i="15" s="1"/>
  <c r="B191" i="10"/>
  <c r="E367" i="15" s="1"/>
  <c r="B191" i="14"/>
  <c r="E187" i="15" s="1"/>
  <c r="B191" i="13"/>
  <c r="E907" i="15" s="1"/>
  <c r="B191" i="11"/>
  <c r="E547" i="15" s="1"/>
  <c r="B165" i="12"/>
  <c r="B165" i="10"/>
  <c r="B165" i="14"/>
  <c r="E161" i="15" s="1"/>
  <c r="H161" i="15" s="1"/>
  <c r="B165" i="11"/>
  <c r="B165" i="13"/>
  <c r="E881" i="15" s="1"/>
  <c r="B173" i="12"/>
  <c r="E709" i="15" s="1"/>
  <c r="B173" i="10"/>
  <c r="E349" i="15" s="1"/>
  <c r="G349" i="15" s="1"/>
  <c r="B173" i="14"/>
  <c r="E169" i="15" s="1"/>
  <c r="G169" i="15" s="1"/>
  <c r="B173" i="11"/>
  <c r="B173" i="13"/>
  <c r="E889" i="15" s="1"/>
  <c r="B184" i="13"/>
  <c r="E900" i="15" s="1"/>
  <c r="B184" i="11"/>
  <c r="E540" i="15" s="1"/>
  <c r="G540" i="15" s="1"/>
  <c r="B184" i="10"/>
  <c r="E360" i="15" s="1"/>
  <c r="B184" i="14"/>
  <c r="E180" i="15" s="1"/>
  <c r="B184" i="12"/>
  <c r="E720" i="15" s="1"/>
  <c r="B166" i="13"/>
  <c r="E882" i="15" s="1"/>
  <c r="G882" i="15" s="1"/>
  <c r="B166" i="11"/>
  <c r="B166" i="12"/>
  <c r="E702" i="15" s="1"/>
  <c r="B166" i="10"/>
  <c r="E342" i="15" s="1"/>
  <c r="B166" i="14"/>
  <c r="E162" i="15" s="1"/>
  <c r="H162" i="15" s="1"/>
  <c r="B167" i="12"/>
  <c r="B167" i="10"/>
  <c r="B167" i="14"/>
  <c r="E163" i="15" s="1"/>
  <c r="G163" i="15" s="1"/>
  <c r="B167" i="11"/>
  <c r="E523" i="15" s="1"/>
  <c r="G523" i="15" s="1"/>
  <c r="B167" i="13"/>
  <c r="E883" i="15" s="1"/>
  <c r="B175" i="12"/>
  <c r="E711" i="15" s="1"/>
  <c r="B175" i="10"/>
  <c r="B175" i="14"/>
  <c r="B175" i="13"/>
  <c r="E891" i="15" s="1"/>
  <c r="B175" i="11"/>
  <c r="E531" i="15" s="1"/>
  <c r="B178" i="13"/>
  <c r="E894" i="15" s="1"/>
  <c r="H894" i="15" s="1"/>
  <c r="B178" i="11"/>
  <c r="E534" i="15" s="1"/>
  <c r="B178" i="10"/>
  <c r="E354" i="15" s="1"/>
  <c r="H354" i="15" s="1"/>
  <c r="B178" i="14"/>
  <c r="E174" i="15" s="1"/>
  <c r="B178" i="12"/>
  <c r="E714" i="15" s="1"/>
  <c r="B186" i="13"/>
  <c r="E902" i="15" s="1"/>
  <c r="B186" i="11"/>
  <c r="E542" i="15" s="1"/>
  <c r="B186" i="10"/>
  <c r="E362" i="15" s="1"/>
  <c r="H362" i="15" s="1"/>
  <c r="B186" i="14"/>
  <c r="B186" i="12"/>
  <c r="E722" i="15" s="1"/>
  <c r="H722" i="15" s="1"/>
  <c r="B172" i="11"/>
  <c r="E528" i="15" s="1"/>
  <c r="B172" i="13"/>
  <c r="B172" i="14"/>
  <c r="E168" i="15" s="1"/>
  <c r="B172" i="12"/>
  <c r="B172" i="10"/>
  <c r="E348" i="15" s="1"/>
  <c r="B185" i="10"/>
  <c r="E361" i="15" s="1"/>
  <c r="G361" i="15" s="1"/>
  <c r="B185" i="14"/>
  <c r="B185" i="12"/>
  <c r="B185" i="13"/>
  <c r="E901" i="15" s="1"/>
  <c r="B185" i="11"/>
  <c r="E541" i="15" s="1"/>
  <c r="B168" i="13"/>
  <c r="E884" i="15" s="1"/>
  <c r="B168" i="11"/>
  <c r="E524" i="15" s="1"/>
  <c r="B168" i="10"/>
  <c r="E344" i="15" s="1"/>
  <c r="B168" i="12"/>
  <c r="B168" i="14"/>
  <c r="B179" i="12"/>
  <c r="E715" i="15" s="1"/>
  <c r="B179" i="10"/>
  <c r="E355" i="15" s="1"/>
  <c r="B179" i="14"/>
  <c r="E175" i="15" s="1"/>
  <c r="B179" i="13"/>
  <c r="E895" i="15" s="1"/>
  <c r="H895" i="15" s="1"/>
  <c r="B179" i="11"/>
  <c r="E535" i="15" s="1"/>
  <c r="B169" i="10"/>
  <c r="E345" i="15" s="1"/>
  <c r="H345" i="15" s="1"/>
  <c r="B169" i="14"/>
  <c r="E165" i="15" s="1"/>
  <c r="B169" i="12"/>
  <c r="E705" i="15" s="1"/>
  <c r="B169" i="13"/>
  <c r="E885" i="15" s="1"/>
  <c r="B169" i="11"/>
  <c r="B180" i="11"/>
  <c r="E536" i="15" s="1"/>
  <c r="H536" i="15" s="1"/>
  <c r="B180" i="13"/>
  <c r="E896" i="15" s="1"/>
  <c r="B180" i="14"/>
  <c r="E176" i="15" s="1"/>
  <c r="B180" i="12"/>
  <c r="E716" i="15" s="1"/>
  <c r="B180" i="10"/>
  <c r="E356" i="15" s="1"/>
  <c r="E904" i="15"/>
  <c r="B188" i="11"/>
  <c r="E544" i="15" s="1"/>
  <c r="G544" i="15" s="1"/>
  <c r="B188" i="13"/>
  <c r="B188" i="10"/>
  <c r="E364" i="15" s="1"/>
  <c r="B188" i="12"/>
  <c r="E724" i="15" s="1"/>
  <c r="H724" i="15" s="1"/>
  <c r="B188" i="14"/>
  <c r="E184" i="15" s="1"/>
  <c r="B79" i="10"/>
  <c r="B79" i="12"/>
  <c r="E615" i="15" s="1"/>
  <c r="B79" i="11"/>
  <c r="E435" i="15" s="1"/>
  <c r="H435" i="15" s="1"/>
  <c r="B79" i="13"/>
  <c r="E795" i="15" s="1"/>
  <c r="H795" i="15" s="1"/>
  <c r="B79" i="14"/>
  <c r="E75" i="15" s="1"/>
  <c r="B83" i="11"/>
  <c r="E439" i="15" s="1"/>
  <c r="G439" i="15" s="1"/>
  <c r="B83" i="13"/>
  <c r="E799" i="15" s="1"/>
  <c r="G799" i="15" s="1"/>
  <c r="B83" i="10"/>
  <c r="E259" i="15" s="1"/>
  <c r="G259" i="15" s="1"/>
  <c r="B83" i="12"/>
  <c r="E619" i="15" s="1"/>
  <c r="H619" i="15" s="1"/>
  <c r="B83" i="14"/>
  <c r="E79" i="15" s="1"/>
  <c r="B92" i="11"/>
  <c r="E448" i="15" s="1"/>
  <c r="G448" i="15" s="1"/>
  <c r="B92" i="13"/>
  <c r="E808" i="15" s="1"/>
  <c r="G808" i="15" s="1"/>
  <c r="B92" i="14"/>
  <c r="E88" i="15" s="1"/>
  <c r="G88" i="15" s="1"/>
  <c r="B92" i="10"/>
  <c r="E268" i="15" s="1"/>
  <c r="G268" i="15" s="1"/>
  <c r="B92" i="12"/>
  <c r="E628" i="15" s="1"/>
  <c r="B96" i="10"/>
  <c r="E272" i="15" s="1"/>
  <c r="B96" i="12"/>
  <c r="E632" i="15" s="1"/>
  <c r="H632" i="15" s="1"/>
  <c r="B96" i="11"/>
  <c r="E452" i="15" s="1"/>
  <c r="H452" i="15" s="1"/>
  <c r="B96" i="14"/>
  <c r="E92" i="15" s="1"/>
  <c r="H92" i="15" s="1"/>
  <c r="B96" i="13"/>
  <c r="E812" i="15" s="1"/>
  <c r="G812" i="15" s="1"/>
  <c r="B84" i="11"/>
  <c r="E440" i="15" s="1"/>
  <c r="H440" i="15" s="1"/>
  <c r="B84" i="13"/>
  <c r="E800" i="15" s="1"/>
  <c r="H800" i="15" s="1"/>
  <c r="B84" i="14"/>
  <c r="E80" i="15" s="1"/>
  <c r="H80" i="15" s="1"/>
  <c r="B84" i="10"/>
  <c r="E260" i="15" s="1"/>
  <c r="H260" i="15" s="1"/>
  <c r="B84" i="12"/>
  <c r="E620" i="15" s="1"/>
  <c r="B100" i="11"/>
  <c r="E456" i="15" s="1"/>
  <c r="B100" i="13"/>
  <c r="E816" i="15" s="1"/>
  <c r="B100" i="14"/>
  <c r="E96" i="15" s="1"/>
  <c r="H96" i="15" s="1"/>
  <c r="B100" i="10"/>
  <c r="E276" i="15" s="1"/>
  <c r="B100" i="12"/>
  <c r="E636" i="15" s="1"/>
  <c r="B75" i="11"/>
  <c r="E431" i="15" s="1"/>
  <c r="B75" i="10"/>
  <c r="E251" i="15" s="1"/>
  <c r="B75" i="12"/>
  <c r="E611" i="15" s="1"/>
  <c r="H611" i="15" s="1"/>
  <c r="B75" i="14"/>
  <c r="E71" i="15" s="1"/>
  <c r="H71" i="15" s="1"/>
  <c r="B75" i="13"/>
  <c r="E791" i="15" s="1"/>
  <c r="G791" i="15" s="1"/>
  <c r="B101" i="11"/>
  <c r="E457" i="15" s="1"/>
  <c r="B101" i="13"/>
  <c r="E817" i="15" s="1"/>
  <c r="H817" i="15" s="1"/>
  <c r="B101" i="14"/>
  <c r="E97" i="15" s="1"/>
  <c r="H97" i="15" s="1"/>
  <c r="B101" i="10"/>
  <c r="E277" i="15" s="1"/>
  <c r="G277" i="15" s="1"/>
  <c r="B101" i="12"/>
  <c r="E637" i="15" s="1"/>
  <c r="B88" i="10"/>
  <c r="E264" i="15" s="1"/>
  <c r="B88" i="12"/>
  <c r="E624" i="15" s="1"/>
  <c r="G624" i="15" s="1"/>
  <c r="B88" i="11"/>
  <c r="E444" i="15" s="1"/>
  <c r="B88" i="13"/>
  <c r="E804" i="15" s="1"/>
  <c r="B88" i="14"/>
  <c r="E84" i="15" s="1"/>
  <c r="G84" i="15" s="1"/>
  <c r="H87" i="14"/>
  <c r="L83" i="15" s="1"/>
  <c r="H75" i="14"/>
  <c r="L71" i="15" s="1"/>
  <c r="H180" i="14"/>
  <c r="L176" i="15" s="1"/>
  <c r="H165" i="14"/>
  <c r="L161" i="15" s="1"/>
  <c r="H73" i="10"/>
  <c r="L249" i="15" s="1"/>
  <c r="H180" i="10"/>
  <c r="L356" i="15" s="1"/>
  <c r="H163" i="10"/>
  <c r="L339" i="15" s="1"/>
  <c r="H87" i="11"/>
  <c r="L443" i="15" s="1"/>
  <c r="H75" i="11"/>
  <c r="L431" i="15" s="1"/>
  <c r="H73" i="12"/>
  <c r="L609" i="15" s="1"/>
  <c r="H180" i="12"/>
  <c r="L716" i="15" s="1"/>
  <c r="H90" i="14"/>
  <c r="L86" i="15" s="1"/>
  <c r="H74" i="14"/>
  <c r="L70" i="15" s="1"/>
  <c r="H179" i="14"/>
  <c r="L175" i="15" s="1"/>
  <c r="H164" i="14"/>
  <c r="L160" i="15" s="1"/>
  <c r="H87" i="10"/>
  <c r="L263" i="15" s="1"/>
  <c r="H72" i="10"/>
  <c r="L248" i="15" s="1"/>
  <c r="H179" i="10"/>
  <c r="L355" i="15" s="1"/>
  <c r="H74" i="11"/>
  <c r="L430" i="15" s="1"/>
  <c r="H165" i="11"/>
  <c r="L521" i="15" s="1"/>
  <c r="H87" i="12"/>
  <c r="L623" i="15" s="1"/>
  <c r="H72" i="12"/>
  <c r="L608" i="15" s="1"/>
  <c r="H165" i="12"/>
  <c r="L701" i="15" s="1"/>
  <c r="H89" i="13"/>
  <c r="L805" i="15" s="1"/>
  <c r="H73" i="13"/>
  <c r="L789" i="15" s="1"/>
  <c r="H165" i="13"/>
  <c r="L881" i="15" s="1"/>
  <c r="H89" i="14"/>
  <c r="L85" i="15" s="1"/>
  <c r="H73" i="14"/>
  <c r="L69" i="15" s="1"/>
  <c r="H178" i="14"/>
  <c r="L174" i="15" s="1"/>
  <c r="H163" i="14"/>
  <c r="L159" i="15" s="1"/>
  <c r="H75" i="10"/>
  <c r="L251" i="15" s="1"/>
  <c r="H89" i="11"/>
  <c r="L445" i="15" s="1"/>
  <c r="H178" i="11"/>
  <c r="L534" i="15" s="1"/>
  <c r="H75" i="12"/>
  <c r="L611" i="15" s="1"/>
  <c r="H178" i="13"/>
  <c r="L894" i="15" s="1"/>
  <c r="H88" i="14"/>
  <c r="L84" i="15" s="1"/>
  <c r="H72" i="14"/>
  <c r="L68" i="15" s="1"/>
  <c r="H89" i="10"/>
  <c r="L265" i="15" s="1"/>
  <c r="H74" i="10"/>
  <c r="L250" i="15" s="1"/>
  <c r="H178" i="10"/>
  <c r="L354" i="15" s="1"/>
  <c r="H180" i="11"/>
  <c r="L536" i="15" s="1"/>
  <c r="H163" i="11"/>
  <c r="L519" i="15" s="1"/>
  <c r="H163" i="12"/>
  <c r="L699" i="15" s="1"/>
  <c r="E366" i="15"/>
  <c r="H366" i="15" s="1"/>
  <c r="E358" i="15"/>
  <c r="H358" i="15" s="1"/>
  <c r="E545" i="15"/>
  <c r="G545" i="15" s="1"/>
  <c r="E721" i="15"/>
  <c r="G721" i="15" s="1"/>
  <c r="E717" i="15"/>
  <c r="G717" i="15" s="1"/>
  <c r="E906" i="15"/>
  <c r="H906" i="15" s="1"/>
  <c r="E546" i="15"/>
  <c r="H546" i="15" s="1"/>
  <c r="E182" i="15"/>
  <c r="H182" i="15" s="1"/>
  <c r="E181" i="15"/>
  <c r="E166" i="15"/>
  <c r="H166" i="15" s="1"/>
  <c r="E522" i="15"/>
  <c r="G522" i="15" s="1"/>
  <c r="E890" i="15"/>
  <c r="H890" i="15" s="1"/>
  <c r="E170" i="15"/>
  <c r="H170" i="15" s="1"/>
  <c r="E160" i="15"/>
  <c r="G160" i="15" s="1"/>
  <c r="E352" i="15"/>
  <c r="G352" i="15" s="1"/>
  <c r="E708" i="15"/>
  <c r="H708" i="15" s="1"/>
  <c r="E704" i="15"/>
  <c r="H704" i="15" s="1"/>
  <c r="E888" i="15"/>
  <c r="G888" i="15" s="1"/>
  <c r="E171" i="15"/>
  <c r="H171" i="15" s="1"/>
  <c r="E164" i="15"/>
  <c r="H164" i="15" s="1"/>
  <c r="E340" i="15"/>
  <c r="G340" i="15" s="1"/>
  <c r="E532" i="15"/>
  <c r="G532" i="15" s="1"/>
  <c r="E351" i="15"/>
  <c r="H351" i="15" s="1"/>
  <c r="E347" i="15"/>
  <c r="H347" i="15" s="1"/>
  <c r="E343" i="15"/>
  <c r="H343" i="15" s="1"/>
  <c r="E341" i="15"/>
  <c r="H341" i="15" s="1"/>
  <c r="E339" i="15"/>
  <c r="G339" i="15" s="1"/>
  <c r="E529" i="15"/>
  <c r="G529" i="15" s="1"/>
  <c r="E527" i="15"/>
  <c r="H527" i="15" s="1"/>
  <c r="E525" i="15"/>
  <c r="H525" i="15" s="1"/>
  <c r="E521" i="15"/>
  <c r="G521" i="15" s="1"/>
  <c r="E707" i="15"/>
  <c r="H707" i="15" s="1"/>
  <c r="E703" i="15"/>
  <c r="H703" i="15" s="1"/>
  <c r="E701" i="15"/>
  <c r="G701" i="15" s="1"/>
  <c r="E699" i="15"/>
  <c r="H699" i="15" s="1"/>
  <c r="E255" i="15"/>
  <c r="G255" i="15" s="1"/>
  <c r="M47" i="15" a="1"/>
  <c r="M47" i="15" s="1"/>
  <c r="N47" i="15" s="1"/>
  <c r="M48" i="15" a="1"/>
  <c r="M48" i="15" s="1"/>
  <c r="N48" i="15" s="1"/>
  <c r="M49" i="15" a="1"/>
  <c r="M49" i="15" s="1"/>
  <c r="N49" i="15" s="1"/>
  <c r="M42" i="15" a="1"/>
  <c r="M42" i="15" s="1"/>
  <c r="M46" i="15" a="1"/>
  <c r="M46" i="15" s="1"/>
  <c r="N46" i="15" s="1"/>
  <c r="M43" i="15" a="1"/>
  <c r="M43" i="15" s="1"/>
  <c r="M44" i="15" a="1"/>
  <c r="M44" i="15" s="1"/>
  <c r="M45" i="15" a="1"/>
  <c r="M45" i="15" s="1"/>
  <c r="H173" i="15"/>
  <c r="G173" i="15"/>
  <c r="H361" i="15"/>
  <c r="H353" i="15"/>
  <c r="G353" i="15"/>
  <c r="H532" i="15"/>
  <c r="G518" i="15"/>
  <c r="H518" i="15"/>
  <c r="H544" i="15"/>
  <c r="G608" i="15"/>
  <c r="H608" i="15"/>
  <c r="G720" i="15"/>
  <c r="H720" i="15"/>
  <c r="G716" i="15"/>
  <c r="H716" i="15"/>
  <c r="H698" i="15"/>
  <c r="G698" i="15"/>
  <c r="G788" i="15"/>
  <c r="H788" i="15"/>
  <c r="H907" i="15"/>
  <c r="G907" i="15"/>
  <c r="G905" i="15"/>
  <c r="H903" i="15"/>
  <c r="G903" i="15"/>
  <c r="H901" i="15"/>
  <c r="G901" i="15"/>
  <c r="H899" i="15"/>
  <c r="G899" i="15"/>
  <c r="G897" i="15"/>
  <c r="H897" i="15"/>
  <c r="H893" i="15"/>
  <c r="G893" i="15"/>
  <c r="AA7" i="15"/>
  <c r="AF7" i="15"/>
  <c r="H365" i="15"/>
  <c r="G365" i="15"/>
  <c r="H357" i="15"/>
  <c r="G357" i="15"/>
  <c r="H68" i="15"/>
  <c r="G68" i="15"/>
  <c r="H248" i="15"/>
  <c r="G248" i="15"/>
  <c r="H803" i="15"/>
  <c r="G803" i="15"/>
  <c r="AF8" i="15"/>
  <c r="AA8" i="15"/>
  <c r="H355" i="15"/>
  <c r="G355" i="15"/>
  <c r="G166" i="15"/>
  <c r="H158" i="15"/>
  <c r="G158" i="15"/>
  <c r="H184" i="15"/>
  <c r="G184" i="15"/>
  <c r="H180" i="15"/>
  <c r="G180" i="15"/>
  <c r="G358" i="15"/>
  <c r="H346" i="15"/>
  <c r="G346" i="15"/>
  <c r="H623" i="15"/>
  <c r="G623" i="15"/>
  <c r="H713" i="15"/>
  <c r="G713" i="15"/>
  <c r="G904" i="15"/>
  <c r="H904" i="15"/>
  <c r="H880" i="15"/>
  <c r="H878" i="15"/>
  <c r="G878" i="15"/>
  <c r="AF9" i="15"/>
  <c r="AA9" i="15"/>
  <c r="AF5" i="15"/>
  <c r="AA5" i="15"/>
  <c r="H83" i="15"/>
  <c r="G83" i="15"/>
  <c r="H181" i="15"/>
  <c r="G181" i="15"/>
  <c r="H367" i="15"/>
  <c r="G367" i="15"/>
  <c r="H359" i="15"/>
  <c r="G359" i="15"/>
  <c r="H540" i="15"/>
  <c r="H530" i="15"/>
  <c r="G530" i="15"/>
  <c r="H263" i="15"/>
  <c r="G263" i="15"/>
  <c r="H338" i="15"/>
  <c r="G338" i="15"/>
  <c r="G428" i="15"/>
  <c r="H428" i="15"/>
  <c r="H533" i="15"/>
  <c r="G533" i="15"/>
  <c r="H443" i="15"/>
  <c r="G443" i="15"/>
  <c r="AF6" i="15"/>
  <c r="AA6" i="15"/>
  <c r="W32" i="15"/>
  <c r="B84" i="9"/>
  <c r="B88" i="9"/>
  <c r="B92" i="9"/>
  <c r="B96" i="9"/>
  <c r="B101" i="9"/>
  <c r="B105" i="9"/>
  <c r="B109" i="9"/>
  <c r="B85" i="9"/>
  <c r="B89" i="9"/>
  <c r="B93" i="9"/>
  <c r="B97" i="9"/>
  <c r="B102" i="9"/>
  <c r="B106" i="9"/>
  <c r="B110" i="9"/>
  <c r="B87" i="9"/>
  <c r="B91" i="9"/>
  <c r="B100" i="9"/>
  <c r="B104" i="9"/>
  <c r="B108" i="9"/>
  <c r="AD6" i="15"/>
  <c r="V32" i="15"/>
  <c r="F5" i="15"/>
  <c r="AD7" i="15"/>
  <c r="AD8" i="15"/>
  <c r="AI5" i="15"/>
  <c r="AD9" i="15"/>
  <c r="AD5" i="15"/>
  <c r="AI9" i="15"/>
  <c r="G4" i="14"/>
  <c r="F4" i="14"/>
  <c r="G42" i="14"/>
  <c r="G27" i="14"/>
  <c r="G12" i="14"/>
  <c r="G4" i="13"/>
  <c r="F4" i="13"/>
  <c r="G42" i="13"/>
  <c r="G27" i="13"/>
  <c r="G12" i="13"/>
  <c r="G4" i="12"/>
  <c r="F4" i="12"/>
  <c r="G42" i="12"/>
  <c r="G27" i="12"/>
  <c r="G12" i="12"/>
  <c r="G4" i="11"/>
  <c r="F4" i="11"/>
  <c r="G42" i="11"/>
  <c r="G27" i="11"/>
  <c r="G12" i="11"/>
  <c r="G42" i="10"/>
  <c r="G27" i="10"/>
  <c r="G4" i="10"/>
  <c r="F4" i="10"/>
  <c r="G12" i="10"/>
  <c r="D172" i="9"/>
  <c r="D171" i="9"/>
  <c r="D170" i="9"/>
  <c r="D169" i="9"/>
  <c r="D168" i="9"/>
  <c r="D167" i="9"/>
  <c r="D166" i="9"/>
  <c r="D165" i="9"/>
  <c r="D164" i="9"/>
  <c r="D163" i="9"/>
  <c r="D162" i="9"/>
  <c r="D161" i="9"/>
  <c r="D160" i="9"/>
  <c r="D159" i="9"/>
  <c r="D158" i="9"/>
  <c r="D157" i="9"/>
  <c r="D156" i="9"/>
  <c r="D155" i="9"/>
  <c r="D154" i="9"/>
  <c r="D153" i="9"/>
  <c r="D152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1" i="9"/>
  <c r="D120" i="9"/>
  <c r="D118" i="9"/>
  <c r="C158" i="9"/>
  <c r="C143" i="9"/>
  <c r="H108" i="10"/>
  <c r="L284" i="15" s="1"/>
  <c r="H109" i="10"/>
  <c r="L285" i="15" s="1"/>
  <c r="H116" i="10"/>
  <c r="L292" i="15" s="1"/>
  <c r="H125" i="10"/>
  <c r="L301" i="15" s="1"/>
  <c r="F113" i="9"/>
  <c r="D126" i="9"/>
  <c r="D125" i="9"/>
  <c r="D124" i="9"/>
  <c r="D123" i="9"/>
  <c r="D122" i="9"/>
  <c r="D119" i="9"/>
  <c r="D117" i="9"/>
  <c r="D116" i="9"/>
  <c r="D115" i="9"/>
  <c r="D114" i="9"/>
  <c r="D11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B171" i="9"/>
  <c r="B157" i="9"/>
  <c r="B139" i="9"/>
  <c r="B123" i="9"/>
  <c r="E218" i="15"/>
  <c r="B49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2" i="9"/>
  <c r="D51" i="9"/>
  <c r="D50" i="9"/>
  <c r="D49" i="9"/>
  <c r="F38" i="14" s="1"/>
  <c r="G38" i="14" s="1"/>
  <c r="D34" i="15" s="1"/>
  <c r="D48" i="9"/>
  <c r="D47" i="9"/>
  <c r="D46" i="9"/>
  <c r="D45" i="9"/>
  <c r="F34" i="14" s="1"/>
  <c r="G34" i="14" s="1"/>
  <c r="D30" i="15" s="1"/>
  <c r="D44" i="9"/>
  <c r="D43" i="9"/>
  <c r="D42" i="9"/>
  <c r="D41" i="9"/>
  <c r="D40" i="9"/>
  <c r="D39" i="9"/>
  <c r="D24" i="9"/>
  <c r="D37" i="9"/>
  <c r="D36" i="9"/>
  <c r="D35" i="9"/>
  <c r="D34" i="9"/>
  <c r="F23" i="14" s="1"/>
  <c r="G23" i="14" s="1"/>
  <c r="D19" i="15" s="1"/>
  <c r="D33" i="9"/>
  <c r="D32" i="9"/>
  <c r="D31" i="9"/>
  <c r="D30" i="9"/>
  <c r="F19" i="14" s="1"/>
  <c r="G19" i="14" s="1"/>
  <c r="D15" i="15" s="1"/>
  <c r="D29" i="9"/>
  <c r="D28" i="9"/>
  <c r="D27" i="9"/>
  <c r="D26" i="9"/>
  <c r="F15" i="14" s="1"/>
  <c r="G15" i="14" s="1"/>
  <c r="D11" i="15" s="1"/>
  <c r="D25" i="9"/>
  <c r="H64" i="10"/>
  <c r="L240" i="15" s="1"/>
  <c r="H70" i="10"/>
  <c r="L246" i="15" s="1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B76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H52" i="10"/>
  <c r="L228" i="15" s="1"/>
  <c r="H49" i="10"/>
  <c r="L225" i="15" s="1"/>
  <c r="H47" i="10"/>
  <c r="L223" i="15" s="1"/>
  <c r="H45" i="10"/>
  <c r="L221" i="15" s="1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B50" i="9"/>
  <c r="B46" i="9"/>
  <c r="B42" i="9"/>
  <c r="H41" i="11"/>
  <c r="L397" i="15" s="1"/>
  <c r="H36" i="10"/>
  <c r="L212" i="15" s="1"/>
  <c r="H34" i="11"/>
  <c r="L390" i="15" s="1"/>
  <c r="H29" i="10"/>
  <c r="L205" i="15" s="1"/>
  <c r="H14" i="11"/>
  <c r="L370" i="15" s="1"/>
  <c r="H16" i="11"/>
  <c r="L372" i="15" s="1"/>
  <c r="H20" i="10"/>
  <c r="L196" i="15" s="1"/>
  <c r="H24" i="10"/>
  <c r="L200" i="15" s="1"/>
  <c r="H25" i="10"/>
  <c r="L201" i="15" s="1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B24" i="9"/>
  <c r="E69" i="7"/>
  <c r="E70" i="7"/>
  <c r="E71" i="7"/>
  <c r="E72" i="7"/>
  <c r="E73" i="7"/>
  <c r="F73" i="7"/>
  <c r="E74" i="7"/>
  <c r="G74" i="7" s="1"/>
  <c r="J373" i="4" s="1"/>
  <c r="F74" i="7"/>
  <c r="E75" i="7"/>
  <c r="F75" i="7"/>
  <c r="E76" i="7"/>
  <c r="F76" i="7"/>
  <c r="E77" i="7"/>
  <c r="F77" i="7"/>
  <c r="E78" i="7"/>
  <c r="G78" i="7" s="1"/>
  <c r="J377" i="4" s="1"/>
  <c r="F78" i="7"/>
  <c r="E79" i="7"/>
  <c r="F79" i="7"/>
  <c r="E80" i="7"/>
  <c r="F80" i="7"/>
  <c r="E81" i="7"/>
  <c r="F81" i="7"/>
  <c r="E82" i="7"/>
  <c r="F82" i="7"/>
  <c r="E83" i="7"/>
  <c r="F83" i="7"/>
  <c r="C71" i="7"/>
  <c r="D71" i="7" s="1"/>
  <c r="C370" i="4" s="1"/>
  <c r="C72" i="7"/>
  <c r="D72" i="7" s="1"/>
  <c r="C371" i="4" s="1"/>
  <c r="C73" i="7"/>
  <c r="D73" i="7" s="1"/>
  <c r="C372" i="4" s="1"/>
  <c r="C74" i="7"/>
  <c r="D74" i="7" s="1"/>
  <c r="C373" i="4" s="1"/>
  <c r="C75" i="7"/>
  <c r="D75" i="7" s="1"/>
  <c r="C374" i="4" s="1"/>
  <c r="C76" i="7"/>
  <c r="D76" i="7" s="1"/>
  <c r="C375" i="4" s="1"/>
  <c r="C77" i="7"/>
  <c r="D77" i="7" s="1"/>
  <c r="C376" i="4" s="1"/>
  <c r="C78" i="7"/>
  <c r="D78" i="7" s="1"/>
  <c r="C377" i="4" s="1"/>
  <c r="C79" i="7"/>
  <c r="D79" i="7" s="1"/>
  <c r="C378" i="4" s="1"/>
  <c r="C80" i="7"/>
  <c r="D80" i="7" s="1"/>
  <c r="C379" i="4" s="1"/>
  <c r="C81" i="7"/>
  <c r="D81" i="7" s="1"/>
  <c r="C380" i="4" s="1"/>
  <c r="C82" i="7"/>
  <c r="D82" i="7" s="1"/>
  <c r="C381" i="4" s="1"/>
  <c r="C83" i="7"/>
  <c r="D83" i="7" s="1"/>
  <c r="C382" i="4" s="1"/>
  <c r="C69" i="7"/>
  <c r="D69" i="7" s="1"/>
  <c r="C368" i="4" s="1"/>
  <c r="C70" i="7"/>
  <c r="D70" i="7" s="1"/>
  <c r="C369" i="4" s="1"/>
  <c r="D379" i="4"/>
  <c r="D375" i="4"/>
  <c r="D371" i="4"/>
  <c r="D368" i="4"/>
  <c r="E69" i="6"/>
  <c r="E70" i="6"/>
  <c r="F70" i="6"/>
  <c r="E71" i="6"/>
  <c r="E72" i="6"/>
  <c r="F72" i="6"/>
  <c r="E73" i="6"/>
  <c r="F73" i="6"/>
  <c r="E74" i="6"/>
  <c r="F74" i="6"/>
  <c r="E75" i="6"/>
  <c r="F75" i="6"/>
  <c r="E76" i="6"/>
  <c r="F76" i="6"/>
  <c r="E77" i="6"/>
  <c r="F77" i="6"/>
  <c r="E78" i="6"/>
  <c r="F78" i="6"/>
  <c r="E79" i="6"/>
  <c r="F79" i="6"/>
  <c r="E80" i="6"/>
  <c r="F80" i="6"/>
  <c r="E81" i="6"/>
  <c r="F81" i="6"/>
  <c r="E82" i="6"/>
  <c r="F82" i="6"/>
  <c r="E83" i="6"/>
  <c r="F83" i="6"/>
  <c r="E84" i="6"/>
  <c r="C69" i="6"/>
  <c r="D69" i="6" s="1"/>
  <c r="C353" i="4" s="1"/>
  <c r="C71" i="6"/>
  <c r="D71" i="6" s="1"/>
  <c r="C355" i="4" s="1"/>
  <c r="C72" i="6"/>
  <c r="D72" i="6" s="1"/>
  <c r="C356" i="4" s="1"/>
  <c r="C73" i="6"/>
  <c r="D73" i="6" s="1"/>
  <c r="C357" i="4" s="1"/>
  <c r="C74" i="6"/>
  <c r="D74" i="6" s="1"/>
  <c r="C358" i="4" s="1"/>
  <c r="C75" i="6"/>
  <c r="D75" i="6" s="1"/>
  <c r="C359" i="4" s="1"/>
  <c r="C76" i="6"/>
  <c r="D76" i="6" s="1"/>
  <c r="C360" i="4" s="1"/>
  <c r="C77" i="6"/>
  <c r="D77" i="6" s="1"/>
  <c r="C361" i="4" s="1"/>
  <c r="C78" i="6"/>
  <c r="D78" i="6" s="1"/>
  <c r="C362" i="4" s="1"/>
  <c r="C79" i="6"/>
  <c r="D79" i="6" s="1"/>
  <c r="C363" i="4" s="1"/>
  <c r="C80" i="6"/>
  <c r="D80" i="6" s="1"/>
  <c r="C364" i="4" s="1"/>
  <c r="C81" i="6"/>
  <c r="D81" i="6" s="1"/>
  <c r="C365" i="4" s="1"/>
  <c r="C82" i="6"/>
  <c r="D82" i="6" s="1"/>
  <c r="C366" i="4" s="1"/>
  <c r="C83" i="6"/>
  <c r="D83" i="6" s="1"/>
  <c r="C367" i="4" s="1"/>
  <c r="C70" i="6"/>
  <c r="D70" i="6" s="1"/>
  <c r="C354" i="4" s="1"/>
  <c r="D362" i="4"/>
  <c r="D354" i="4"/>
  <c r="D353" i="4"/>
  <c r="E69" i="5"/>
  <c r="E70" i="5"/>
  <c r="E71" i="5"/>
  <c r="E72" i="5"/>
  <c r="E73" i="5"/>
  <c r="F73" i="5"/>
  <c r="E74" i="5"/>
  <c r="F74" i="5"/>
  <c r="E75" i="5"/>
  <c r="F75" i="5"/>
  <c r="E76" i="5"/>
  <c r="F76" i="5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D69" i="5"/>
  <c r="C338" i="4" s="1"/>
  <c r="C71" i="5"/>
  <c r="D71" i="5" s="1"/>
  <c r="C340" i="4" s="1"/>
  <c r="C72" i="5"/>
  <c r="D72" i="5" s="1"/>
  <c r="C341" i="4" s="1"/>
  <c r="C73" i="5"/>
  <c r="D73" i="5" s="1"/>
  <c r="C342" i="4" s="1"/>
  <c r="C74" i="5"/>
  <c r="D74" i="5" s="1"/>
  <c r="C343" i="4" s="1"/>
  <c r="C75" i="5"/>
  <c r="D75" i="5" s="1"/>
  <c r="C344" i="4" s="1"/>
  <c r="C76" i="5"/>
  <c r="D76" i="5" s="1"/>
  <c r="C345" i="4" s="1"/>
  <c r="C77" i="5"/>
  <c r="D77" i="5" s="1"/>
  <c r="C346" i="4" s="1"/>
  <c r="C78" i="5"/>
  <c r="D78" i="5" s="1"/>
  <c r="C347" i="4" s="1"/>
  <c r="C79" i="5"/>
  <c r="D79" i="5" s="1"/>
  <c r="C348" i="4" s="1"/>
  <c r="C80" i="5"/>
  <c r="D80" i="5" s="1"/>
  <c r="C349" i="4" s="1"/>
  <c r="C81" i="5"/>
  <c r="D81" i="5" s="1"/>
  <c r="C350" i="4" s="1"/>
  <c r="C82" i="5"/>
  <c r="D82" i="5" s="1"/>
  <c r="C351" i="4" s="1"/>
  <c r="C83" i="5"/>
  <c r="D83" i="5" s="1"/>
  <c r="C352" i="4" s="1"/>
  <c r="C70" i="5"/>
  <c r="D70" i="5" s="1"/>
  <c r="C339" i="4" s="1"/>
  <c r="D347" i="4"/>
  <c r="D339" i="4"/>
  <c r="D338" i="4"/>
  <c r="E69" i="2"/>
  <c r="E70" i="2"/>
  <c r="E71" i="2"/>
  <c r="E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D336" i="4"/>
  <c r="D332" i="4"/>
  <c r="D329" i="4"/>
  <c r="D323" i="4"/>
  <c r="F73" i="8"/>
  <c r="F74" i="8"/>
  <c r="F75" i="8"/>
  <c r="F76" i="8"/>
  <c r="F77" i="8"/>
  <c r="F78" i="8"/>
  <c r="F79" i="8"/>
  <c r="F80" i="8"/>
  <c r="F81" i="8"/>
  <c r="F82" i="8"/>
  <c r="F83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C69" i="8"/>
  <c r="D69" i="8" s="1"/>
  <c r="C308" i="4" s="1"/>
  <c r="C83" i="8"/>
  <c r="D83" i="8" s="1"/>
  <c r="C322" i="4" s="1"/>
  <c r="C82" i="8"/>
  <c r="D82" i="8" s="1"/>
  <c r="C321" i="4" s="1"/>
  <c r="C81" i="8"/>
  <c r="D81" i="8" s="1"/>
  <c r="C320" i="4" s="1"/>
  <c r="C80" i="8"/>
  <c r="D80" i="8" s="1"/>
  <c r="C319" i="4" s="1"/>
  <c r="C79" i="8"/>
  <c r="D79" i="8" s="1"/>
  <c r="C318" i="4" s="1"/>
  <c r="C78" i="8"/>
  <c r="D78" i="8" s="1"/>
  <c r="C317" i="4" s="1"/>
  <c r="C77" i="8"/>
  <c r="D77" i="8" s="1"/>
  <c r="C316" i="4" s="1"/>
  <c r="C76" i="8"/>
  <c r="D76" i="8" s="1"/>
  <c r="C315" i="4" s="1"/>
  <c r="C75" i="8"/>
  <c r="D75" i="8" s="1"/>
  <c r="C314" i="4" s="1"/>
  <c r="C74" i="8"/>
  <c r="D74" i="8" s="1"/>
  <c r="C313" i="4" s="1"/>
  <c r="C73" i="8"/>
  <c r="D73" i="8" s="1"/>
  <c r="C312" i="4" s="1"/>
  <c r="C72" i="8"/>
  <c r="D72" i="8" s="1"/>
  <c r="C311" i="4" s="1"/>
  <c r="C71" i="8"/>
  <c r="D71" i="8" s="1"/>
  <c r="C310" i="4" s="1"/>
  <c r="C70" i="8"/>
  <c r="D70" i="8" s="1"/>
  <c r="C309" i="4" s="1"/>
  <c r="D319" i="4"/>
  <c r="G319" i="4" s="1"/>
  <c r="D315" i="4"/>
  <c r="G315" i="4" s="1"/>
  <c r="D314" i="4"/>
  <c r="D311" i="4"/>
  <c r="G311" i="4" s="1"/>
  <c r="D308" i="4"/>
  <c r="D78" i="1"/>
  <c r="D330" i="4"/>
  <c r="D85" i="1"/>
  <c r="D337" i="4"/>
  <c r="F337" i="4" s="1"/>
  <c r="D84" i="1"/>
  <c r="D83" i="1"/>
  <c r="D76" i="1"/>
  <c r="D328" i="4"/>
  <c r="D335" i="4"/>
  <c r="D82" i="1"/>
  <c r="D334" i="4"/>
  <c r="D81" i="1"/>
  <c r="D333" i="4"/>
  <c r="D80" i="1"/>
  <c r="D79" i="1"/>
  <c r="D331" i="4"/>
  <c r="D77" i="1"/>
  <c r="D75" i="1"/>
  <c r="D327" i="4"/>
  <c r="D74" i="1"/>
  <c r="D326" i="4"/>
  <c r="D73" i="1"/>
  <c r="D325" i="4"/>
  <c r="F70" i="7"/>
  <c r="F71" i="5"/>
  <c r="F72" i="7"/>
  <c r="D72" i="1"/>
  <c r="D324" i="4"/>
  <c r="B28" i="9"/>
  <c r="B32" i="9"/>
  <c r="B36" i="9"/>
  <c r="I4" i="4"/>
  <c r="P2" i="1"/>
  <c r="Q2" i="1"/>
  <c r="G718" i="15" l="1"/>
  <c r="H718" i="15"/>
  <c r="G174" i="15"/>
  <c r="H174" i="15"/>
  <c r="H534" i="15"/>
  <c r="G534" i="15"/>
  <c r="G543" i="15"/>
  <c r="H543" i="15"/>
  <c r="H537" i="15"/>
  <c r="G724" i="15"/>
  <c r="H363" i="15"/>
  <c r="G895" i="15"/>
  <c r="G342" i="15"/>
  <c r="H342" i="15"/>
  <c r="H528" i="15"/>
  <c r="G528" i="15"/>
  <c r="G520" i="15"/>
  <c r="H520" i="15"/>
  <c r="G165" i="15"/>
  <c r="H165" i="15"/>
  <c r="H524" i="15"/>
  <c r="G524" i="15"/>
  <c r="G891" i="15"/>
  <c r="H891" i="15"/>
  <c r="H882" i="15"/>
  <c r="G170" i="15"/>
  <c r="G541" i="15"/>
  <c r="H541" i="15"/>
  <c r="H727" i="15"/>
  <c r="G727" i="15"/>
  <c r="G879" i="15"/>
  <c r="H879" i="15"/>
  <c r="H185" i="15"/>
  <c r="G185" i="15"/>
  <c r="G712" i="15"/>
  <c r="H712" i="15"/>
  <c r="H885" i="15"/>
  <c r="G885" i="15"/>
  <c r="H715" i="15"/>
  <c r="G715" i="15"/>
  <c r="H711" i="15"/>
  <c r="M38" i="15" a="1"/>
  <c r="M38" i="15" s="1"/>
  <c r="G900" i="15"/>
  <c r="H900" i="15"/>
  <c r="H186" i="15"/>
  <c r="G186" i="15"/>
  <c r="H723" i="15"/>
  <c r="G723" i="15"/>
  <c r="H892" i="15"/>
  <c r="G892" i="15"/>
  <c r="G356" i="15"/>
  <c r="H356" i="15"/>
  <c r="H883" i="15"/>
  <c r="G883" i="15"/>
  <c r="H726" i="15"/>
  <c r="G726" i="15"/>
  <c r="M39" i="15" a="1"/>
  <c r="M39" i="15" s="1"/>
  <c r="G887" i="15"/>
  <c r="H887" i="15"/>
  <c r="H350" i="15"/>
  <c r="G350" i="15"/>
  <c r="H539" i="15"/>
  <c r="G539" i="15"/>
  <c r="G705" i="15"/>
  <c r="H705" i="15"/>
  <c r="H889" i="15"/>
  <c r="G889" i="15"/>
  <c r="G898" i="15"/>
  <c r="H898" i="15"/>
  <c r="G725" i="15"/>
  <c r="H725" i="15"/>
  <c r="G344" i="15"/>
  <c r="H344" i="15"/>
  <c r="H176" i="15"/>
  <c r="G176" i="15"/>
  <c r="H535" i="15"/>
  <c r="G535" i="15"/>
  <c r="H348" i="15"/>
  <c r="G348" i="15"/>
  <c r="H542" i="15"/>
  <c r="G542" i="15"/>
  <c r="G531" i="15"/>
  <c r="H531" i="15"/>
  <c r="H886" i="15"/>
  <c r="G886" i="15"/>
  <c r="G179" i="15"/>
  <c r="H179" i="15"/>
  <c r="H702" i="15"/>
  <c r="G702" i="15"/>
  <c r="G547" i="15"/>
  <c r="H547" i="15"/>
  <c r="H896" i="15"/>
  <c r="G896" i="15"/>
  <c r="H884" i="15"/>
  <c r="G884" i="15"/>
  <c r="H902" i="15"/>
  <c r="G902" i="15"/>
  <c r="H709" i="15"/>
  <c r="G709" i="15"/>
  <c r="H187" i="15"/>
  <c r="G187" i="15"/>
  <c r="H178" i="15"/>
  <c r="G178" i="15"/>
  <c r="G172" i="15"/>
  <c r="H172" i="15"/>
  <c r="G364" i="15"/>
  <c r="H364" i="15"/>
  <c r="H175" i="15"/>
  <c r="G175" i="15"/>
  <c r="H168" i="15"/>
  <c r="G168" i="15"/>
  <c r="G714" i="15"/>
  <c r="H714" i="15"/>
  <c r="G360" i="15"/>
  <c r="H360" i="15"/>
  <c r="G881" i="15"/>
  <c r="H881" i="15"/>
  <c r="H183" i="15"/>
  <c r="G183" i="15"/>
  <c r="H719" i="15"/>
  <c r="G719" i="15"/>
  <c r="B160" i="13"/>
  <c r="B160" i="11"/>
  <c r="B160" i="10"/>
  <c r="B160" i="12"/>
  <c r="B160" i="14"/>
  <c r="E156" i="15" s="1"/>
  <c r="K156" i="15" s="1"/>
  <c r="H721" i="15"/>
  <c r="G536" i="15"/>
  <c r="B112" i="13"/>
  <c r="E828" i="15" s="1"/>
  <c r="K828" i="15" s="1"/>
  <c r="B112" i="11"/>
  <c r="E468" i="15" s="1"/>
  <c r="K468" i="15" s="1"/>
  <c r="B112" i="10"/>
  <c r="B112" i="12"/>
  <c r="B112" i="14"/>
  <c r="H340" i="15"/>
  <c r="B128" i="13"/>
  <c r="E844" i="15" s="1"/>
  <c r="K844" i="15" s="1"/>
  <c r="B128" i="11"/>
  <c r="B128" i="12"/>
  <c r="E664" i="15" s="1"/>
  <c r="K664" i="15" s="1"/>
  <c r="B128" i="10"/>
  <c r="E304" i="15" s="1"/>
  <c r="K304" i="15" s="1"/>
  <c r="B128" i="14"/>
  <c r="H521" i="15"/>
  <c r="G177" i="15"/>
  <c r="B146" i="13"/>
  <c r="B146" i="11"/>
  <c r="B146" i="10"/>
  <c r="E322" i="15" s="1"/>
  <c r="K322" i="15" s="1"/>
  <c r="B146" i="14"/>
  <c r="E142" i="15" s="1"/>
  <c r="K142" i="15" s="1"/>
  <c r="B146" i="12"/>
  <c r="E682" i="15" s="1"/>
  <c r="K682" i="15" s="1"/>
  <c r="H160" i="15"/>
  <c r="G525" i="15"/>
  <c r="H255" i="15"/>
  <c r="G435" i="15"/>
  <c r="G628" i="15"/>
  <c r="H628" i="15"/>
  <c r="H277" i="15"/>
  <c r="G440" i="15"/>
  <c r="H816" i="15"/>
  <c r="G816" i="15"/>
  <c r="G637" i="15"/>
  <c r="H637" i="15"/>
  <c r="H251" i="15"/>
  <c r="G251" i="15"/>
  <c r="G431" i="15"/>
  <c r="H431" i="15"/>
  <c r="H84" i="15"/>
  <c r="H88" i="15"/>
  <c r="G96" i="15"/>
  <c r="G92" i="15"/>
  <c r="G75" i="15"/>
  <c r="H75" i="15"/>
  <c r="H804" i="15"/>
  <c r="G804" i="15"/>
  <c r="G457" i="15"/>
  <c r="H457" i="15"/>
  <c r="H636" i="15"/>
  <c r="G636" i="15"/>
  <c r="H444" i="15"/>
  <c r="G444" i="15"/>
  <c r="G276" i="15"/>
  <c r="H276" i="15"/>
  <c r="H264" i="15"/>
  <c r="G264" i="15"/>
  <c r="H620" i="15"/>
  <c r="G620" i="15"/>
  <c r="G456" i="15"/>
  <c r="H456" i="15"/>
  <c r="G272" i="15"/>
  <c r="H272" i="15"/>
  <c r="G79" i="15"/>
  <c r="H79" i="15"/>
  <c r="G615" i="15"/>
  <c r="H615" i="15"/>
  <c r="B35" i="11"/>
  <c r="E391" i="15" s="1"/>
  <c r="K391" i="15" s="1"/>
  <c r="B35" i="14"/>
  <c r="E31" i="15" s="1"/>
  <c r="K31" i="15" s="1"/>
  <c r="B35" i="10"/>
  <c r="E211" i="15" s="1"/>
  <c r="K211" i="15" s="1"/>
  <c r="B35" i="12"/>
  <c r="E571" i="15" s="1"/>
  <c r="K571" i="15" s="1"/>
  <c r="B35" i="13"/>
  <c r="B78" i="11"/>
  <c r="E434" i="15" s="1"/>
  <c r="K434" i="15" s="1"/>
  <c r="B78" i="13"/>
  <c r="E794" i="15" s="1"/>
  <c r="K794" i="15" s="1"/>
  <c r="B78" i="14"/>
  <c r="E74" i="15" s="1"/>
  <c r="K74" i="15" s="1"/>
  <c r="B78" i="10"/>
  <c r="E254" i="15" s="1"/>
  <c r="K254" i="15" s="1"/>
  <c r="B78" i="12"/>
  <c r="E614" i="15" s="1"/>
  <c r="K614" i="15" s="1"/>
  <c r="G71" i="15"/>
  <c r="B76" i="11"/>
  <c r="E432" i="15" s="1"/>
  <c r="K432" i="15" s="1"/>
  <c r="B76" i="13"/>
  <c r="B76" i="14"/>
  <c r="B76" i="10"/>
  <c r="E252" i="15" s="1"/>
  <c r="K252" i="15" s="1"/>
  <c r="B76" i="12"/>
  <c r="E612" i="15" s="1"/>
  <c r="K612" i="15" s="1"/>
  <c r="H268" i="15"/>
  <c r="B38" i="10"/>
  <c r="E214" i="15" s="1"/>
  <c r="K214" i="15" s="1"/>
  <c r="B38" i="11"/>
  <c r="E394" i="15" s="1"/>
  <c r="K394" i="15" s="1"/>
  <c r="B38" i="13"/>
  <c r="E754" i="15" s="1"/>
  <c r="K754" i="15" s="1"/>
  <c r="B38" i="14"/>
  <c r="B38" i="12"/>
  <c r="B94" i="11"/>
  <c r="E450" i="15" s="1"/>
  <c r="K450" i="15" s="1"/>
  <c r="B94" i="13"/>
  <c r="E810" i="15" s="1"/>
  <c r="K810" i="15" s="1"/>
  <c r="B94" i="14"/>
  <c r="E90" i="15" s="1"/>
  <c r="K90" i="15" s="1"/>
  <c r="B94" i="10"/>
  <c r="E270" i="15" s="1"/>
  <c r="K270" i="15" s="1"/>
  <c r="B94" i="12"/>
  <c r="E630" i="15" s="1"/>
  <c r="K630" i="15" s="1"/>
  <c r="H808" i="15"/>
  <c r="B25" i="10"/>
  <c r="B25" i="12"/>
  <c r="B25" i="11"/>
  <c r="E381" i="15" s="1"/>
  <c r="K381" i="15" s="1"/>
  <c r="B25" i="13"/>
  <c r="E741" i="15" s="1"/>
  <c r="K741" i="15" s="1"/>
  <c r="B25" i="14"/>
  <c r="E21" i="15" s="1"/>
  <c r="K21" i="15" s="1"/>
  <c r="B90" i="11"/>
  <c r="E446" i="15" s="1"/>
  <c r="K446" i="15" s="1"/>
  <c r="B90" i="10"/>
  <c r="E266" i="15" s="1"/>
  <c r="K266" i="15" s="1"/>
  <c r="B90" i="12"/>
  <c r="E626" i="15" s="1"/>
  <c r="K626" i="15" s="1"/>
  <c r="B90" i="13"/>
  <c r="B90" i="14"/>
  <c r="E86" i="15" s="1"/>
  <c r="K86" i="15" s="1"/>
  <c r="H812" i="15"/>
  <c r="G795" i="15"/>
  <c r="B21" i="11"/>
  <c r="E377" i="15" s="1"/>
  <c r="G377" i="15" s="1"/>
  <c r="B21" i="13"/>
  <c r="E737" i="15" s="1"/>
  <c r="K737" i="15" s="1"/>
  <c r="B21" i="14"/>
  <c r="E17" i="15" s="1"/>
  <c r="K17" i="15" s="1"/>
  <c r="B21" i="10"/>
  <c r="E197" i="15" s="1"/>
  <c r="K197" i="15" s="1"/>
  <c r="B21" i="12"/>
  <c r="B91" i="13"/>
  <c r="E807" i="15" s="1"/>
  <c r="K807" i="15" s="1"/>
  <c r="B91" i="10"/>
  <c r="E267" i="15" s="1"/>
  <c r="K267" i="15" s="1"/>
  <c r="B91" i="12"/>
  <c r="E627" i="15" s="1"/>
  <c r="K627" i="15" s="1"/>
  <c r="B91" i="14"/>
  <c r="E87" i="15" s="1"/>
  <c r="K87" i="15" s="1"/>
  <c r="B91" i="11"/>
  <c r="E447" i="15" s="1"/>
  <c r="K447" i="15" s="1"/>
  <c r="B85" i="11"/>
  <c r="E441" i="15" s="1"/>
  <c r="K441" i="15" s="1"/>
  <c r="B85" i="13"/>
  <c r="E801" i="15" s="1"/>
  <c r="K801" i="15" s="1"/>
  <c r="B85" i="14"/>
  <c r="B85" i="10"/>
  <c r="B85" i="12"/>
  <c r="E621" i="15" s="1"/>
  <c r="K621" i="15" s="1"/>
  <c r="G800" i="15"/>
  <c r="G80" i="15"/>
  <c r="G452" i="15"/>
  <c r="G260" i="15"/>
  <c r="H624" i="15"/>
  <c r="B13" i="11"/>
  <c r="B13" i="13"/>
  <c r="E729" i="15" s="1"/>
  <c r="B13" i="14"/>
  <c r="E9" i="15" s="1"/>
  <c r="K9" i="15" s="1"/>
  <c r="B13" i="10"/>
  <c r="E189" i="15" s="1"/>
  <c r="B13" i="12"/>
  <c r="E549" i="15" s="1"/>
  <c r="K549" i="15" s="1"/>
  <c r="B31" i="10"/>
  <c r="E207" i="15" s="1"/>
  <c r="B31" i="12"/>
  <c r="E567" i="15" s="1"/>
  <c r="K567" i="15" s="1"/>
  <c r="B31" i="11"/>
  <c r="E387" i="15" s="1"/>
  <c r="K387" i="15" s="1"/>
  <c r="B31" i="13"/>
  <c r="E747" i="15" s="1"/>
  <c r="K747" i="15" s="1"/>
  <c r="B31" i="14"/>
  <c r="E27" i="15" s="1"/>
  <c r="K27" i="15" s="1"/>
  <c r="B93" i="11"/>
  <c r="E449" i="15" s="1"/>
  <c r="K449" i="15" s="1"/>
  <c r="B93" i="13"/>
  <c r="E809" i="15" s="1"/>
  <c r="K809" i="15" s="1"/>
  <c r="B93" i="14"/>
  <c r="E89" i="15" s="1"/>
  <c r="K89" i="15" s="1"/>
  <c r="B93" i="10"/>
  <c r="E269" i="15" s="1"/>
  <c r="K269" i="15" s="1"/>
  <c r="B93" i="12"/>
  <c r="E629" i="15" s="1"/>
  <c r="K629" i="15" s="1"/>
  <c r="B82" i="10"/>
  <c r="E258" i="15" s="1"/>
  <c r="K258" i="15" s="1"/>
  <c r="B82" i="12"/>
  <c r="B82" i="11"/>
  <c r="E438" i="15" s="1"/>
  <c r="K438" i="15" s="1"/>
  <c r="B82" i="13"/>
  <c r="E798" i="15" s="1"/>
  <c r="K798" i="15" s="1"/>
  <c r="B82" i="14"/>
  <c r="E78" i="15" s="1"/>
  <c r="K78" i="15" s="1"/>
  <c r="B77" i="11"/>
  <c r="E433" i="15" s="1"/>
  <c r="K433" i="15" s="1"/>
  <c r="B77" i="13"/>
  <c r="E793" i="15" s="1"/>
  <c r="K793" i="15" s="1"/>
  <c r="B77" i="14"/>
  <c r="E73" i="15" s="1"/>
  <c r="K73" i="15" s="1"/>
  <c r="B77" i="10"/>
  <c r="E253" i="15" s="1"/>
  <c r="K253" i="15" s="1"/>
  <c r="B77" i="12"/>
  <c r="B89" i="10"/>
  <c r="E265" i="15" s="1"/>
  <c r="K265" i="15" s="1"/>
  <c r="B89" i="12"/>
  <c r="E625" i="15" s="1"/>
  <c r="K625" i="15" s="1"/>
  <c r="B89" i="11"/>
  <c r="E445" i="15" s="1"/>
  <c r="K445" i="15" s="1"/>
  <c r="B89" i="13"/>
  <c r="E805" i="15" s="1"/>
  <c r="K805" i="15" s="1"/>
  <c r="B89" i="14"/>
  <c r="E85" i="15" s="1"/>
  <c r="K85" i="15" s="1"/>
  <c r="B73" i="10"/>
  <c r="E249" i="15" s="1"/>
  <c r="K249" i="15" s="1"/>
  <c r="B73" i="12"/>
  <c r="E609" i="15" s="1"/>
  <c r="K609" i="15" s="1"/>
  <c r="B73" i="11"/>
  <c r="E429" i="15" s="1"/>
  <c r="K429" i="15" s="1"/>
  <c r="B73" i="13"/>
  <c r="E789" i="15" s="1"/>
  <c r="K789" i="15" s="1"/>
  <c r="B73" i="14"/>
  <c r="E69" i="15" s="1"/>
  <c r="K69" i="15" s="1"/>
  <c r="B65" i="10"/>
  <c r="E241" i="15" s="1"/>
  <c r="K241" i="15" s="1"/>
  <c r="B65" i="12"/>
  <c r="E601" i="15" s="1"/>
  <c r="K601" i="15" s="1"/>
  <c r="B65" i="11"/>
  <c r="E421" i="15" s="1"/>
  <c r="K421" i="15" s="1"/>
  <c r="B65" i="13"/>
  <c r="E781" i="15" s="1"/>
  <c r="K781" i="15" s="1"/>
  <c r="B65" i="14"/>
  <c r="E61" i="15" s="1"/>
  <c r="K61" i="15" s="1"/>
  <c r="B98" i="10"/>
  <c r="E274" i="15" s="1"/>
  <c r="K274" i="15" s="1"/>
  <c r="B98" i="12"/>
  <c r="B98" i="11"/>
  <c r="E454" i="15" s="1"/>
  <c r="K454" i="15" s="1"/>
  <c r="B98" i="14"/>
  <c r="E94" i="15" s="1"/>
  <c r="K94" i="15" s="1"/>
  <c r="B98" i="13"/>
  <c r="E814" i="15" s="1"/>
  <c r="K814" i="15" s="1"/>
  <c r="H439" i="15"/>
  <c r="B99" i="11"/>
  <c r="E455" i="15" s="1"/>
  <c r="K455" i="15" s="1"/>
  <c r="B99" i="10"/>
  <c r="E275" i="15" s="1"/>
  <c r="K275" i="15" s="1"/>
  <c r="B99" i="12"/>
  <c r="E635" i="15" s="1"/>
  <c r="K635" i="15" s="1"/>
  <c r="B99" i="13"/>
  <c r="E815" i="15" s="1"/>
  <c r="K815" i="15" s="1"/>
  <c r="B99" i="14"/>
  <c r="E95" i="15" s="1"/>
  <c r="K95" i="15" s="1"/>
  <c r="G611" i="15"/>
  <c r="H791" i="15"/>
  <c r="B95" i="10"/>
  <c r="E271" i="15" s="1"/>
  <c r="K271" i="15" s="1"/>
  <c r="B95" i="11"/>
  <c r="E451" i="15" s="1"/>
  <c r="K451" i="15" s="1"/>
  <c r="B95" i="13"/>
  <c r="E811" i="15" s="1"/>
  <c r="K811" i="15" s="1"/>
  <c r="B95" i="14"/>
  <c r="B95" i="12"/>
  <c r="B17" i="10"/>
  <c r="E193" i="15" s="1"/>
  <c r="K193" i="15" s="1"/>
  <c r="B17" i="12"/>
  <c r="E553" i="15" s="1"/>
  <c r="K553" i="15" s="1"/>
  <c r="B17" i="11"/>
  <c r="E373" i="15" s="1"/>
  <c r="K373" i="15" s="1"/>
  <c r="B17" i="13"/>
  <c r="E733" i="15" s="1"/>
  <c r="K733" i="15" s="1"/>
  <c r="B17" i="14"/>
  <c r="E13" i="15" s="1"/>
  <c r="K13" i="15" s="1"/>
  <c r="B97" i="10"/>
  <c r="E273" i="15" s="1"/>
  <c r="K273" i="15" s="1"/>
  <c r="B97" i="12"/>
  <c r="E633" i="15" s="1"/>
  <c r="K633" i="15" s="1"/>
  <c r="B97" i="11"/>
  <c r="E453" i="15" s="1"/>
  <c r="K453" i="15" s="1"/>
  <c r="B97" i="13"/>
  <c r="E813" i="15" s="1"/>
  <c r="K813" i="15" s="1"/>
  <c r="B97" i="14"/>
  <c r="E93" i="15" s="1"/>
  <c r="K93" i="15" s="1"/>
  <c r="B86" i="10"/>
  <c r="E262" i="15" s="1"/>
  <c r="K262" i="15" s="1"/>
  <c r="B86" i="11"/>
  <c r="E442" i="15" s="1"/>
  <c r="K442" i="15" s="1"/>
  <c r="B86" i="13"/>
  <c r="E802" i="15" s="1"/>
  <c r="K802" i="15" s="1"/>
  <c r="B86" i="14"/>
  <c r="E82" i="15" s="1"/>
  <c r="K82" i="15" s="1"/>
  <c r="B86" i="12"/>
  <c r="E622" i="15" s="1"/>
  <c r="K622" i="15" s="1"/>
  <c r="B81" i="10"/>
  <c r="E257" i="15" s="1"/>
  <c r="K257" i="15" s="1"/>
  <c r="B81" i="12"/>
  <c r="E617" i="15" s="1"/>
  <c r="K617" i="15" s="1"/>
  <c r="B81" i="11"/>
  <c r="E437" i="15" s="1"/>
  <c r="K437" i="15" s="1"/>
  <c r="B81" i="13"/>
  <c r="E797" i="15" s="1"/>
  <c r="K797" i="15" s="1"/>
  <c r="B81" i="14"/>
  <c r="E77" i="15" s="1"/>
  <c r="K77" i="15" s="1"/>
  <c r="H799" i="15"/>
  <c r="B39" i="10"/>
  <c r="E215" i="15" s="1"/>
  <c r="K215" i="15" s="1"/>
  <c r="B39" i="11"/>
  <c r="E395" i="15" s="1"/>
  <c r="B39" i="13"/>
  <c r="E755" i="15" s="1"/>
  <c r="K755" i="15" s="1"/>
  <c r="B39" i="14"/>
  <c r="E35" i="15" s="1"/>
  <c r="K35" i="15" s="1"/>
  <c r="B39" i="12"/>
  <c r="E575" i="15" s="1"/>
  <c r="K575" i="15" s="1"/>
  <c r="B80" i="10"/>
  <c r="B80" i="12"/>
  <c r="E616" i="15" s="1"/>
  <c r="K616" i="15" s="1"/>
  <c r="B80" i="14"/>
  <c r="E76" i="15" s="1"/>
  <c r="K76" i="15" s="1"/>
  <c r="B80" i="11"/>
  <c r="E436" i="15" s="1"/>
  <c r="K436" i="15" s="1"/>
  <c r="B80" i="13"/>
  <c r="B74" i="11"/>
  <c r="E430" i="15" s="1"/>
  <c r="K430" i="15" s="1"/>
  <c r="B74" i="10"/>
  <c r="E250" i="15" s="1"/>
  <c r="K250" i="15" s="1"/>
  <c r="B74" i="12"/>
  <c r="E610" i="15" s="1"/>
  <c r="K610" i="15" s="1"/>
  <c r="B74" i="14"/>
  <c r="E70" i="15" s="1"/>
  <c r="K70" i="15" s="1"/>
  <c r="B74" i="13"/>
  <c r="E790" i="15" s="1"/>
  <c r="K790" i="15" s="1"/>
  <c r="K907" i="15"/>
  <c r="K899" i="15"/>
  <c r="K891" i="15"/>
  <c r="K883" i="15"/>
  <c r="K803" i="15"/>
  <c r="K795" i="15"/>
  <c r="K906" i="15"/>
  <c r="K898" i="15"/>
  <c r="K890" i="15"/>
  <c r="K882" i="15"/>
  <c r="K903" i="15"/>
  <c r="K895" i="15"/>
  <c r="K887" i="15"/>
  <c r="K879" i="15"/>
  <c r="K863" i="15"/>
  <c r="K799" i="15"/>
  <c r="K791" i="15"/>
  <c r="K902" i="15"/>
  <c r="K894" i="15"/>
  <c r="K886" i="15"/>
  <c r="K878" i="15"/>
  <c r="K905" i="15"/>
  <c r="K889" i="15"/>
  <c r="K729" i="15"/>
  <c r="K904" i="15"/>
  <c r="K888" i="15"/>
  <c r="K808" i="15"/>
  <c r="K901" i="15"/>
  <c r="K885" i="15"/>
  <c r="K897" i="15"/>
  <c r="K881" i="15"/>
  <c r="K817" i="15"/>
  <c r="K896" i="15"/>
  <c r="K880" i="15"/>
  <c r="K816" i="15"/>
  <c r="K800" i="15"/>
  <c r="K893" i="15"/>
  <c r="K892" i="15"/>
  <c r="K812" i="15"/>
  <c r="K900" i="15"/>
  <c r="K884" i="15"/>
  <c r="K804" i="15"/>
  <c r="K788" i="15"/>
  <c r="K547" i="15"/>
  <c r="K539" i="15"/>
  <c r="K531" i="15"/>
  <c r="K523" i="15"/>
  <c r="K443" i="15"/>
  <c r="K435" i="15"/>
  <c r="K546" i="15"/>
  <c r="K538" i="15"/>
  <c r="K530" i="15"/>
  <c r="K522" i="15"/>
  <c r="K543" i="15"/>
  <c r="K535" i="15"/>
  <c r="K527" i="15"/>
  <c r="K519" i="15"/>
  <c r="K542" i="15"/>
  <c r="K534" i="15"/>
  <c r="K526" i="15"/>
  <c r="K518" i="15"/>
  <c r="K537" i="15"/>
  <c r="K521" i="15"/>
  <c r="K440" i="15"/>
  <c r="K428" i="15"/>
  <c r="K536" i="15"/>
  <c r="K520" i="15"/>
  <c r="K452" i="15"/>
  <c r="K439" i="15"/>
  <c r="K545" i="15"/>
  <c r="K529" i="15"/>
  <c r="K544" i="15"/>
  <c r="K528" i="15"/>
  <c r="K457" i="15"/>
  <c r="K540" i="15"/>
  <c r="K524" i="15"/>
  <c r="K516" i="15"/>
  <c r="K444" i="15"/>
  <c r="K533" i="15"/>
  <c r="K532" i="15"/>
  <c r="K541" i="15"/>
  <c r="K431" i="15"/>
  <c r="K456" i="15"/>
  <c r="K525" i="15"/>
  <c r="K448" i="15"/>
  <c r="K186" i="15"/>
  <c r="K178" i="15"/>
  <c r="K170" i="15"/>
  <c r="K162" i="15"/>
  <c r="K185" i="15"/>
  <c r="K177" i="15"/>
  <c r="K169" i="15"/>
  <c r="K161" i="15"/>
  <c r="K97" i="15"/>
  <c r="K181" i="15"/>
  <c r="K173" i="15"/>
  <c r="K165" i="15"/>
  <c r="K187" i="15"/>
  <c r="K179" i="15"/>
  <c r="K171" i="15"/>
  <c r="K163" i="15"/>
  <c r="K83" i="15"/>
  <c r="K75" i="15"/>
  <c r="K172" i="15"/>
  <c r="K92" i="15"/>
  <c r="K166" i="15"/>
  <c r="K68" i="15"/>
  <c r="K176" i="15"/>
  <c r="K160" i="15"/>
  <c r="K80" i="15"/>
  <c r="K184" i="15"/>
  <c r="K168" i="15"/>
  <c r="K88" i="15"/>
  <c r="K183" i="15"/>
  <c r="K167" i="15"/>
  <c r="K71" i="15"/>
  <c r="K182" i="15"/>
  <c r="K180" i="15"/>
  <c r="K164" i="15"/>
  <c r="K84" i="15"/>
  <c r="K96" i="15"/>
  <c r="K79" i="15"/>
  <c r="K175" i="15"/>
  <c r="K158" i="15"/>
  <c r="K174" i="15"/>
  <c r="K159" i="15"/>
  <c r="K362" i="15"/>
  <c r="K354" i="15"/>
  <c r="K346" i="15"/>
  <c r="K338" i="15"/>
  <c r="K366" i="15"/>
  <c r="K358" i="15"/>
  <c r="K350" i="15"/>
  <c r="K342" i="15"/>
  <c r="K364" i="15"/>
  <c r="K353" i="15"/>
  <c r="K343" i="15"/>
  <c r="K268" i="15"/>
  <c r="K218" i="15"/>
  <c r="K363" i="15"/>
  <c r="K352" i="15"/>
  <c r="K341" i="15"/>
  <c r="K277" i="15"/>
  <c r="K359" i="15"/>
  <c r="K348" i="15"/>
  <c r="K263" i="15"/>
  <c r="K357" i="15"/>
  <c r="K347" i="15"/>
  <c r="K272" i="15"/>
  <c r="K251" i="15"/>
  <c r="K365" i="15"/>
  <c r="K355" i="15"/>
  <c r="K344" i="15"/>
  <c r="K259" i="15"/>
  <c r="K248" i="15"/>
  <c r="K356" i="15"/>
  <c r="K349" i="15"/>
  <c r="K260" i="15"/>
  <c r="K340" i="15"/>
  <c r="K339" i="15"/>
  <c r="K351" i="15"/>
  <c r="K264" i="15"/>
  <c r="K345" i="15"/>
  <c r="K255" i="15"/>
  <c r="K367" i="15"/>
  <c r="K276" i="15"/>
  <c r="K361" i="15"/>
  <c r="K360" i="15"/>
  <c r="K723" i="15"/>
  <c r="K715" i="15"/>
  <c r="K707" i="15"/>
  <c r="K699" i="15"/>
  <c r="K619" i="15"/>
  <c r="K611" i="15"/>
  <c r="K722" i="15"/>
  <c r="K714" i="15"/>
  <c r="K706" i="15"/>
  <c r="K698" i="15"/>
  <c r="K727" i="15"/>
  <c r="K719" i="15"/>
  <c r="K711" i="15"/>
  <c r="K703" i="15"/>
  <c r="K623" i="15"/>
  <c r="K615" i="15"/>
  <c r="K726" i="15"/>
  <c r="K718" i="15"/>
  <c r="K710" i="15"/>
  <c r="K702" i="15"/>
  <c r="K713" i="15"/>
  <c r="K712" i="15"/>
  <c r="K632" i="15"/>
  <c r="K721" i="15"/>
  <c r="K705" i="15"/>
  <c r="K720" i="15"/>
  <c r="K704" i="15"/>
  <c r="K624" i="15"/>
  <c r="K608" i="15"/>
  <c r="K716" i="15"/>
  <c r="K700" i="15"/>
  <c r="K636" i="15"/>
  <c r="K620" i="15"/>
  <c r="K725" i="15"/>
  <c r="K724" i="15"/>
  <c r="K637" i="15"/>
  <c r="K717" i="15"/>
  <c r="K709" i="15"/>
  <c r="K628" i="15"/>
  <c r="K708" i="15"/>
  <c r="K701" i="15"/>
  <c r="G81" i="8"/>
  <c r="J320" i="4" s="1"/>
  <c r="G73" i="8"/>
  <c r="J312" i="4" s="1"/>
  <c r="G83" i="2"/>
  <c r="J337" i="4" s="1"/>
  <c r="G81" i="5"/>
  <c r="J350" i="4" s="1"/>
  <c r="G79" i="5"/>
  <c r="J348" i="4" s="1"/>
  <c r="G77" i="5"/>
  <c r="J346" i="4" s="1"/>
  <c r="G77" i="8"/>
  <c r="J316" i="4" s="1"/>
  <c r="F71" i="8"/>
  <c r="F71" i="6"/>
  <c r="G70" i="7"/>
  <c r="J369" i="4" s="1"/>
  <c r="F70" i="8"/>
  <c r="F72" i="2"/>
  <c r="F70" i="2"/>
  <c r="F72" i="5"/>
  <c r="F70" i="5"/>
  <c r="F71" i="7"/>
  <c r="F72" i="8"/>
  <c r="F71" i="2"/>
  <c r="G71" i="2" s="1"/>
  <c r="J325" i="4" s="1"/>
  <c r="G82" i="8"/>
  <c r="J321" i="4" s="1"/>
  <c r="G78" i="8"/>
  <c r="J317" i="4" s="1"/>
  <c r="G74" i="8"/>
  <c r="J313" i="4" s="1"/>
  <c r="G70" i="8"/>
  <c r="J309" i="4" s="1"/>
  <c r="G80" i="5"/>
  <c r="J349" i="4" s="1"/>
  <c r="H159" i="15"/>
  <c r="G890" i="15"/>
  <c r="G817" i="15"/>
  <c r="G354" i="15"/>
  <c r="H339" i="15"/>
  <c r="G366" i="15"/>
  <c r="G703" i="15"/>
  <c r="H717" i="15"/>
  <c r="G619" i="15"/>
  <c r="G708" i="15"/>
  <c r="G722" i="15"/>
  <c r="G632" i="15"/>
  <c r="H538" i="15"/>
  <c r="G546" i="15"/>
  <c r="G519" i="15"/>
  <c r="G527" i="15"/>
  <c r="H522" i="15"/>
  <c r="G526" i="15"/>
  <c r="G347" i="15"/>
  <c r="G362" i="15"/>
  <c r="G341" i="15"/>
  <c r="H259" i="15"/>
  <c r="H349" i="15"/>
  <c r="H163" i="15"/>
  <c r="G162" i="15"/>
  <c r="H167" i="15"/>
  <c r="G97" i="15"/>
  <c r="G182" i="15"/>
  <c r="G894" i="15"/>
  <c r="G906" i="15"/>
  <c r="H545" i="15"/>
  <c r="G161" i="15"/>
  <c r="G704" i="15"/>
  <c r="G164" i="15"/>
  <c r="H169" i="15"/>
  <c r="H701" i="15"/>
  <c r="G711" i="15"/>
  <c r="G171" i="15"/>
  <c r="G700" i="15"/>
  <c r="G706" i="15"/>
  <c r="H710" i="15"/>
  <c r="H352" i="15"/>
  <c r="H523" i="15"/>
  <c r="G343" i="15"/>
  <c r="H888" i="15"/>
  <c r="H529" i="15"/>
  <c r="G351" i="15"/>
  <c r="G699" i="15"/>
  <c r="G707" i="15"/>
  <c r="G345" i="15"/>
  <c r="E634" i="15"/>
  <c r="K634" i="15" s="1"/>
  <c r="H448" i="15"/>
  <c r="E631" i="15"/>
  <c r="K631" i="15" s="1"/>
  <c r="E91" i="15"/>
  <c r="K91" i="15" s="1"/>
  <c r="E806" i="15"/>
  <c r="K806" i="15" s="1"/>
  <c r="E796" i="15"/>
  <c r="K796" i="15" s="1"/>
  <c r="E256" i="15"/>
  <c r="K256" i="15" s="1"/>
  <c r="E792" i="15"/>
  <c r="K792" i="15" s="1"/>
  <c r="E72" i="15"/>
  <c r="K72" i="15" s="1"/>
  <c r="E261" i="15"/>
  <c r="K261" i="15" s="1"/>
  <c r="E81" i="15"/>
  <c r="K81" i="15" s="1"/>
  <c r="E618" i="15"/>
  <c r="K618" i="15" s="1"/>
  <c r="E613" i="15"/>
  <c r="K613" i="15" s="1"/>
  <c r="D310" i="4"/>
  <c r="D318" i="4"/>
  <c r="G318" i="4" s="1"/>
  <c r="D342" i="4"/>
  <c r="G342" i="4" s="1"/>
  <c r="D346" i="4"/>
  <c r="F346" i="4" s="1"/>
  <c r="D350" i="4"/>
  <c r="G350" i="4" s="1"/>
  <c r="D343" i="4"/>
  <c r="F343" i="4" s="1"/>
  <c r="D358" i="4"/>
  <c r="G358" i="4" s="1"/>
  <c r="D376" i="4"/>
  <c r="G376" i="4" s="1"/>
  <c r="D312" i="4"/>
  <c r="F312" i="4" s="1"/>
  <c r="D316" i="4"/>
  <c r="F316" i="4" s="1"/>
  <c r="D320" i="4"/>
  <c r="F320" i="4" s="1"/>
  <c r="D340" i="4"/>
  <c r="G340" i="4" s="1"/>
  <c r="D344" i="4"/>
  <c r="G344" i="4" s="1"/>
  <c r="D348" i="4"/>
  <c r="G348" i="4" s="1"/>
  <c r="D352" i="4"/>
  <c r="F352" i="4" s="1"/>
  <c r="D355" i="4"/>
  <c r="G355" i="4" s="1"/>
  <c r="D359" i="4"/>
  <c r="D363" i="4"/>
  <c r="G363" i="4" s="1"/>
  <c r="D367" i="4"/>
  <c r="G367" i="4" s="1"/>
  <c r="D369" i="4"/>
  <c r="F369" i="4" s="1"/>
  <c r="D373" i="4"/>
  <c r="F373" i="4" s="1"/>
  <c r="D377" i="4"/>
  <c r="G377" i="4" s="1"/>
  <c r="D381" i="4"/>
  <c r="G381" i="4" s="1"/>
  <c r="D322" i="4"/>
  <c r="F322" i="4" s="1"/>
  <c r="D357" i="4"/>
  <c r="G357" i="4" s="1"/>
  <c r="D361" i="4"/>
  <c r="G361" i="4" s="1"/>
  <c r="D365" i="4"/>
  <c r="G365" i="4" s="1"/>
  <c r="D351" i="4"/>
  <c r="F351" i="4" s="1"/>
  <c r="D366" i="4"/>
  <c r="D372" i="4"/>
  <c r="F372" i="4" s="1"/>
  <c r="D380" i="4"/>
  <c r="G380" i="4" s="1"/>
  <c r="D309" i="4"/>
  <c r="F309" i="4" s="1"/>
  <c r="D313" i="4"/>
  <c r="F313" i="4" s="1"/>
  <c r="D317" i="4"/>
  <c r="F317" i="4" s="1"/>
  <c r="D321" i="4"/>
  <c r="F321" i="4" s="1"/>
  <c r="D341" i="4"/>
  <c r="G341" i="4" s="1"/>
  <c r="D345" i="4"/>
  <c r="F345" i="4" s="1"/>
  <c r="D349" i="4"/>
  <c r="F349" i="4" s="1"/>
  <c r="D356" i="4"/>
  <c r="G356" i="4" s="1"/>
  <c r="D360" i="4"/>
  <c r="F360" i="4" s="1"/>
  <c r="D364" i="4"/>
  <c r="F364" i="4" s="1"/>
  <c r="D370" i="4"/>
  <c r="F370" i="4" s="1"/>
  <c r="D374" i="4"/>
  <c r="F374" i="4" s="1"/>
  <c r="D378" i="4"/>
  <c r="G378" i="4" s="1"/>
  <c r="D382" i="4"/>
  <c r="AF5" i="4"/>
  <c r="I63" i="15"/>
  <c r="I67" i="15"/>
  <c r="I71" i="15"/>
  <c r="I75" i="15"/>
  <c r="I79" i="15"/>
  <c r="I83" i="15"/>
  <c r="I87" i="15"/>
  <c r="I91" i="15"/>
  <c r="I95" i="15"/>
  <c r="I99" i="15"/>
  <c r="I103" i="15"/>
  <c r="I107" i="15"/>
  <c r="I111" i="15"/>
  <c r="I115" i="15"/>
  <c r="I119" i="15"/>
  <c r="I123" i="15"/>
  <c r="I127" i="15"/>
  <c r="I131" i="15"/>
  <c r="I135" i="15"/>
  <c r="I139" i="15"/>
  <c r="I143" i="15"/>
  <c r="I147" i="15"/>
  <c r="I151" i="15"/>
  <c r="I155" i="15"/>
  <c r="I159" i="15"/>
  <c r="I163" i="15"/>
  <c r="I167" i="15"/>
  <c r="I171" i="15"/>
  <c r="I175" i="15"/>
  <c r="I179" i="15"/>
  <c r="I183" i="15"/>
  <c r="I187" i="15"/>
  <c r="I191" i="15"/>
  <c r="I195" i="15"/>
  <c r="I199" i="15"/>
  <c r="I203" i="15"/>
  <c r="I207" i="15"/>
  <c r="I211" i="15"/>
  <c r="I215" i="15"/>
  <c r="I219" i="15"/>
  <c r="I223" i="15"/>
  <c r="I227" i="15"/>
  <c r="I231" i="15"/>
  <c r="I235" i="15"/>
  <c r="I239" i="15"/>
  <c r="I243" i="15"/>
  <c r="I247" i="15"/>
  <c r="I251" i="15"/>
  <c r="I255" i="15"/>
  <c r="I259" i="15"/>
  <c r="I263" i="15"/>
  <c r="I267" i="15"/>
  <c r="I271" i="15"/>
  <c r="I275" i="15"/>
  <c r="I279" i="15"/>
  <c r="I61" i="15"/>
  <c r="I66" i="15"/>
  <c r="I72" i="15"/>
  <c r="I77" i="15"/>
  <c r="I82" i="15"/>
  <c r="I88" i="15"/>
  <c r="I93" i="15"/>
  <c r="I98" i="15"/>
  <c r="I104" i="15"/>
  <c r="I109" i="15"/>
  <c r="I114" i="15"/>
  <c r="I120" i="15"/>
  <c r="I125" i="15"/>
  <c r="I130" i="15"/>
  <c r="I136" i="15"/>
  <c r="I141" i="15"/>
  <c r="I146" i="15"/>
  <c r="I152" i="15"/>
  <c r="I157" i="15"/>
  <c r="I162" i="15"/>
  <c r="I168" i="15"/>
  <c r="I173" i="15"/>
  <c r="I178" i="15"/>
  <c r="I184" i="15"/>
  <c r="I189" i="15"/>
  <c r="I194" i="15"/>
  <c r="I200" i="15"/>
  <c r="I205" i="15"/>
  <c r="I210" i="15"/>
  <c r="I216" i="15"/>
  <c r="I221" i="15"/>
  <c r="I226" i="15"/>
  <c r="I232" i="15"/>
  <c r="I237" i="15"/>
  <c r="I242" i="15"/>
  <c r="I248" i="15"/>
  <c r="I253" i="15"/>
  <c r="I258" i="15"/>
  <c r="I264" i="15"/>
  <c r="I269" i="15"/>
  <c r="I274" i="15"/>
  <c r="I280" i="15"/>
  <c r="I284" i="15"/>
  <c r="I288" i="15"/>
  <c r="I292" i="15"/>
  <c r="I296" i="15"/>
  <c r="I300" i="15"/>
  <c r="I304" i="15"/>
  <c r="I308" i="15"/>
  <c r="I312" i="15"/>
  <c r="I316" i="15"/>
  <c r="I320" i="15"/>
  <c r="I324" i="15"/>
  <c r="I328" i="15"/>
  <c r="I332" i="15"/>
  <c r="I336" i="15"/>
  <c r="I340" i="15"/>
  <c r="I344" i="15"/>
  <c r="I348" i="15"/>
  <c r="I352" i="15"/>
  <c r="I356" i="15"/>
  <c r="I360" i="15"/>
  <c r="I364" i="15"/>
  <c r="I368" i="15"/>
  <c r="I372" i="15"/>
  <c r="I376" i="15"/>
  <c r="I380" i="15"/>
  <c r="I384" i="15"/>
  <c r="I388" i="15"/>
  <c r="I392" i="15"/>
  <c r="I396" i="15"/>
  <c r="I400" i="15"/>
  <c r="I404" i="15"/>
  <c r="I408" i="15"/>
  <c r="I412" i="15"/>
  <c r="I416" i="15"/>
  <c r="I420" i="15"/>
  <c r="I424" i="15"/>
  <c r="I428" i="15"/>
  <c r="I432" i="15"/>
  <c r="I436" i="15"/>
  <c r="I440" i="15"/>
  <c r="I444" i="15"/>
  <c r="I448" i="15"/>
  <c r="I452" i="15"/>
  <c r="I456" i="15"/>
  <c r="I460" i="15"/>
  <c r="I464" i="15"/>
  <c r="I468" i="15"/>
  <c r="I472" i="15"/>
  <c r="I476" i="15"/>
  <c r="I480" i="15"/>
  <c r="I484" i="15"/>
  <c r="I488" i="15"/>
  <c r="I492" i="15"/>
  <c r="I496" i="15"/>
  <c r="I500" i="15"/>
  <c r="I504" i="15"/>
  <c r="I508" i="15"/>
  <c r="I512" i="15"/>
  <c r="I516" i="15"/>
  <c r="I520" i="15"/>
  <c r="I524" i="15"/>
  <c r="I528" i="15"/>
  <c r="I532" i="15"/>
  <c r="I536" i="15"/>
  <c r="I540" i="15"/>
  <c r="I544" i="15"/>
  <c r="I548" i="15"/>
  <c r="I552" i="15"/>
  <c r="I556" i="15"/>
  <c r="I560" i="15"/>
  <c r="I564" i="15"/>
  <c r="I568" i="15"/>
  <c r="I572" i="15"/>
  <c r="I576" i="15"/>
  <c r="I580" i="15"/>
  <c r="I584" i="15"/>
  <c r="I588" i="15"/>
  <c r="I592" i="15"/>
  <c r="I596" i="15"/>
  <c r="I600" i="15"/>
  <c r="I604" i="15"/>
  <c r="I608" i="15"/>
  <c r="I612" i="15"/>
  <c r="I616" i="15"/>
  <c r="I620" i="15"/>
  <c r="I624" i="15"/>
  <c r="I628" i="15"/>
  <c r="I632" i="15"/>
  <c r="I636" i="15"/>
  <c r="I640" i="15"/>
  <c r="I644" i="15"/>
  <c r="I648" i="15"/>
  <c r="I652" i="15"/>
  <c r="I656" i="15"/>
  <c r="I660" i="15"/>
  <c r="I664" i="15"/>
  <c r="I668" i="15"/>
  <c r="I672" i="15"/>
  <c r="I676" i="15"/>
  <c r="I680" i="15"/>
  <c r="I684" i="15"/>
  <c r="I688" i="15"/>
  <c r="I692" i="15"/>
  <c r="I696" i="15"/>
  <c r="I700" i="15"/>
  <c r="I704" i="15"/>
  <c r="I708" i="15"/>
  <c r="I712" i="15"/>
  <c r="I716" i="15"/>
  <c r="I720" i="15"/>
  <c r="I724" i="15"/>
  <c r="I728" i="15"/>
  <c r="I732" i="15"/>
  <c r="I736" i="15"/>
  <c r="I740" i="15"/>
  <c r="I744" i="15"/>
  <c r="I748" i="15"/>
  <c r="I752" i="15"/>
  <c r="I62" i="15"/>
  <c r="I69" i="15"/>
  <c r="I76" i="15"/>
  <c r="I84" i="15"/>
  <c r="I90" i="15"/>
  <c r="I97" i="15"/>
  <c r="I105" i="15"/>
  <c r="I112" i="15"/>
  <c r="I118" i="15"/>
  <c r="I126" i="15"/>
  <c r="I133" i="15"/>
  <c r="I140" i="15"/>
  <c r="I148" i="15"/>
  <c r="I154" i="15"/>
  <c r="I161" i="15"/>
  <c r="I169" i="15"/>
  <c r="I176" i="15"/>
  <c r="I182" i="15"/>
  <c r="I190" i="15"/>
  <c r="I197" i="15"/>
  <c r="I204" i="15"/>
  <c r="I212" i="15"/>
  <c r="I218" i="15"/>
  <c r="I225" i="15"/>
  <c r="I233" i="15"/>
  <c r="I240" i="15"/>
  <c r="I246" i="15"/>
  <c r="I254" i="15"/>
  <c r="I261" i="15"/>
  <c r="I268" i="15"/>
  <c r="I276" i="15"/>
  <c r="I282" i="15"/>
  <c r="I287" i="15"/>
  <c r="I293" i="15"/>
  <c r="I298" i="15"/>
  <c r="I303" i="15"/>
  <c r="I309" i="15"/>
  <c r="I314" i="15"/>
  <c r="I319" i="15"/>
  <c r="I325" i="15"/>
  <c r="I330" i="15"/>
  <c r="I335" i="15"/>
  <c r="I341" i="15"/>
  <c r="I346" i="15"/>
  <c r="I351" i="15"/>
  <c r="I357" i="15"/>
  <c r="I362" i="15"/>
  <c r="I367" i="15"/>
  <c r="I373" i="15"/>
  <c r="I378" i="15"/>
  <c r="I383" i="15"/>
  <c r="I389" i="15"/>
  <c r="I394" i="15"/>
  <c r="I399" i="15"/>
  <c r="I405" i="15"/>
  <c r="I410" i="15"/>
  <c r="I415" i="15"/>
  <c r="I421" i="15"/>
  <c r="I426" i="15"/>
  <c r="I431" i="15"/>
  <c r="I437" i="15"/>
  <c r="I442" i="15"/>
  <c r="I447" i="15"/>
  <c r="I453" i="15"/>
  <c r="I458" i="15"/>
  <c r="I463" i="15"/>
  <c r="I469" i="15"/>
  <c r="I474" i="15"/>
  <c r="I479" i="15"/>
  <c r="I485" i="15"/>
  <c r="I490" i="15"/>
  <c r="I495" i="15"/>
  <c r="I501" i="15"/>
  <c r="I506" i="15"/>
  <c r="I511" i="15"/>
  <c r="I517" i="15"/>
  <c r="I522" i="15"/>
  <c r="I527" i="15"/>
  <c r="I533" i="15"/>
  <c r="I538" i="15"/>
  <c r="I543" i="15"/>
  <c r="I549" i="15"/>
  <c r="I554" i="15"/>
  <c r="I559" i="15"/>
  <c r="I565" i="15"/>
  <c r="I570" i="15"/>
  <c r="I575" i="15"/>
  <c r="I581" i="15"/>
  <c r="I586" i="15"/>
  <c r="I591" i="15"/>
  <c r="I597" i="15"/>
  <c r="I602" i="15"/>
  <c r="I607" i="15"/>
  <c r="I613" i="15"/>
  <c r="I618" i="15"/>
  <c r="I623" i="15"/>
  <c r="I629" i="15"/>
  <c r="I634" i="15"/>
  <c r="I639" i="15"/>
  <c r="I645" i="15"/>
  <c r="I650" i="15"/>
  <c r="I655" i="15"/>
  <c r="I661" i="15"/>
  <c r="I666" i="15"/>
  <c r="I671" i="15"/>
  <c r="I677" i="15"/>
  <c r="I682" i="15"/>
  <c r="I687" i="15"/>
  <c r="I693" i="15"/>
  <c r="I698" i="15"/>
  <c r="I703" i="15"/>
  <c r="I709" i="15"/>
  <c r="I714" i="15"/>
  <c r="I719" i="15"/>
  <c r="I725" i="15"/>
  <c r="I730" i="15"/>
  <c r="I735" i="15"/>
  <c r="I741" i="15"/>
  <c r="I746" i="15"/>
  <c r="I751" i="15"/>
  <c r="I756" i="15"/>
  <c r="I64" i="15"/>
  <c r="I70" i="15"/>
  <c r="I78" i="15"/>
  <c r="I85" i="15"/>
  <c r="I92" i="15"/>
  <c r="I100" i="15"/>
  <c r="I106" i="15"/>
  <c r="I113" i="15"/>
  <c r="I121" i="15"/>
  <c r="I128" i="15"/>
  <c r="I134" i="15"/>
  <c r="I142" i="15"/>
  <c r="I149" i="15"/>
  <c r="I156" i="15"/>
  <c r="I164" i="15"/>
  <c r="I170" i="15"/>
  <c r="I177" i="15"/>
  <c r="I185" i="15"/>
  <c r="I192" i="15"/>
  <c r="I198" i="15"/>
  <c r="I206" i="15"/>
  <c r="I213" i="15"/>
  <c r="I220" i="15"/>
  <c r="I228" i="15"/>
  <c r="I234" i="15"/>
  <c r="I241" i="15"/>
  <c r="I249" i="15"/>
  <c r="I256" i="15"/>
  <c r="I262" i="15"/>
  <c r="I270" i="15"/>
  <c r="I277" i="15"/>
  <c r="I283" i="15"/>
  <c r="I289" i="15"/>
  <c r="I294" i="15"/>
  <c r="I299" i="15"/>
  <c r="I305" i="15"/>
  <c r="I310" i="15"/>
  <c r="I315" i="15"/>
  <c r="I321" i="15"/>
  <c r="I326" i="15"/>
  <c r="I331" i="15"/>
  <c r="I337" i="15"/>
  <c r="I342" i="15"/>
  <c r="I347" i="15"/>
  <c r="I353" i="15"/>
  <c r="I358" i="15"/>
  <c r="I363" i="15"/>
  <c r="I369" i="15"/>
  <c r="I374" i="15"/>
  <c r="I379" i="15"/>
  <c r="I385" i="15"/>
  <c r="I390" i="15"/>
  <c r="I395" i="15"/>
  <c r="I401" i="15"/>
  <c r="I406" i="15"/>
  <c r="I411" i="15"/>
  <c r="I417" i="15"/>
  <c r="I422" i="15"/>
  <c r="I427" i="15"/>
  <c r="I433" i="15"/>
  <c r="I438" i="15"/>
  <c r="I443" i="15"/>
  <c r="I449" i="15"/>
  <c r="I454" i="15"/>
  <c r="I459" i="15"/>
  <c r="I465" i="15"/>
  <c r="I470" i="15"/>
  <c r="I475" i="15"/>
  <c r="I481" i="15"/>
  <c r="I486" i="15"/>
  <c r="I491" i="15"/>
  <c r="I497" i="15"/>
  <c r="I502" i="15"/>
  <c r="I507" i="15"/>
  <c r="I513" i="15"/>
  <c r="I518" i="15"/>
  <c r="I523" i="15"/>
  <c r="I65" i="15"/>
  <c r="I73" i="15"/>
  <c r="I80" i="15"/>
  <c r="I86" i="15"/>
  <c r="I94" i="15"/>
  <c r="I101" i="15"/>
  <c r="I108" i="15"/>
  <c r="I116" i="15"/>
  <c r="I122" i="15"/>
  <c r="I129" i="15"/>
  <c r="I137" i="15"/>
  <c r="I144" i="15"/>
  <c r="I150" i="15"/>
  <c r="I158" i="15"/>
  <c r="I165" i="15"/>
  <c r="I172" i="15"/>
  <c r="I180" i="15"/>
  <c r="I186" i="15"/>
  <c r="I193" i="15"/>
  <c r="I201" i="15"/>
  <c r="I208" i="15"/>
  <c r="I214" i="15"/>
  <c r="I222" i="15"/>
  <c r="I229" i="15"/>
  <c r="I236" i="15"/>
  <c r="I244" i="15"/>
  <c r="I250" i="15"/>
  <c r="I257" i="15"/>
  <c r="I265" i="15"/>
  <c r="I272" i="15"/>
  <c r="I278" i="15"/>
  <c r="I285" i="15"/>
  <c r="I290" i="15"/>
  <c r="I295" i="15"/>
  <c r="I301" i="15"/>
  <c r="I306" i="15"/>
  <c r="I311" i="15"/>
  <c r="I317" i="15"/>
  <c r="I322" i="15"/>
  <c r="I327" i="15"/>
  <c r="I333" i="15"/>
  <c r="I338" i="15"/>
  <c r="I343" i="15"/>
  <c r="I349" i="15"/>
  <c r="I354" i="15"/>
  <c r="I359" i="15"/>
  <c r="I365" i="15"/>
  <c r="I370" i="15"/>
  <c r="I375" i="15"/>
  <c r="I381" i="15"/>
  <c r="I386" i="15"/>
  <c r="I391" i="15"/>
  <c r="I397" i="15"/>
  <c r="I402" i="15"/>
  <c r="I407" i="15"/>
  <c r="I413" i="15"/>
  <c r="I60" i="15"/>
  <c r="I68" i="15"/>
  <c r="I74" i="15"/>
  <c r="I81" i="15"/>
  <c r="I89" i="15"/>
  <c r="I96" i="15"/>
  <c r="I102" i="15"/>
  <c r="I110" i="15"/>
  <c r="I117" i="15"/>
  <c r="I124" i="15"/>
  <c r="I132" i="15"/>
  <c r="I138" i="15"/>
  <c r="I145" i="15"/>
  <c r="I153" i="15"/>
  <c r="I160" i="15"/>
  <c r="I166" i="15"/>
  <c r="I174" i="15"/>
  <c r="I181" i="15"/>
  <c r="I188" i="15"/>
  <c r="I196" i="15"/>
  <c r="I202" i="15"/>
  <c r="I209" i="15"/>
  <c r="I217" i="15"/>
  <c r="I224" i="15"/>
  <c r="I230" i="15"/>
  <c r="I238" i="15"/>
  <c r="I245" i="15"/>
  <c r="I252" i="15"/>
  <c r="I260" i="15"/>
  <c r="I266" i="15"/>
  <c r="I273" i="15"/>
  <c r="I281" i="15"/>
  <c r="I286" i="15"/>
  <c r="I291" i="15"/>
  <c r="I297" i="15"/>
  <c r="I302" i="15"/>
  <c r="I307" i="15"/>
  <c r="I313" i="15"/>
  <c r="I318" i="15"/>
  <c r="I323" i="15"/>
  <c r="I329" i="15"/>
  <c r="I334" i="15"/>
  <c r="I339" i="15"/>
  <c r="I345" i="15"/>
  <c r="I350" i="15"/>
  <c r="I355" i="15"/>
  <c r="I361" i="15"/>
  <c r="I366" i="15"/>
  <c r="I371" i="15"/>
  <c r="I377" i="15"/>
  <c r="I382" i="15"/>
  <c r="I387" i="15"/>
  <c r="I393" i="15"/>
  <c r="I398" i="15"/>
  <c r="I403" i="15"/>
  <c r="I409" i="15"/>
  <c r="I414" i="15"/>
  <c r="I419" i="15"/>
  <c r="I425" i="15"/>
  <c r="I430" i="15"/>
  <c r="I435" i="15"/>
  <c r="I441" i="15"/>
  <c r="I446" i="15"/>
  <c r="I451" i="15"/>
  <c r="I457" i="15"/>
  <c r="I462" i="15"/>
  <c r="I467" i="15"/>
  <c r="I473" i="15"/>
  <c r="I478" i="15"/>
  <c r="I483" i="15"/>
  <c r="I489" i="15"/>
  <c r="I494" i="15"/>
  <c r="I499" i="15"/>
  <c r="I505" i="15"/>
  <c r="I510" i="15"/>
  <c r="I515" i="15"/>
  <c r="I521" i="15"/>
  <c r="I526" i="15"/>
  <c r="I531" i="15"/>
  <c r="I537" i="15"/>
  <c r="I542" i="15"/>
  <c r="I547" i="15"/>
  <c r="I553" i="15"/>
  <c r="I418" i="15"/>
  <c r="I439" i="15"/>
  <c r="I461" i="15"/>
  <c r="I482" i="15"/>
  <c r="I503" i="15"/>
  <c r="I525" i="15"/>
  <c r="I535" i="15"/>
  <c r="I546" i="15"/>
  <c r="I557" i="15"/>
  <c r="I563" i="15"/>
  <c r="I571" i="15"/>
  <c r="I578" i="15"/>
  <c r="I585" i="15"/>
  <c r="I593" i="15"/>
  <c r="I599" i="15"/>
  <c r="I606" i="15"/>
  <c r="I614" i="15"/>
  <c r="I621" i="15"/>
  <c r="I627" i="15"/>
  <c r="I635" i="15"/>
  <c r="I642" i="15"/>
  <c r="I649" i="15"/>
  <c r="I657" i="15"/>
  <c r="I663" i="15"/>
  <c r="I670" i="15"/>
  <c r="I678" i="15"/>
  <c r="I685" i="15"/>
  <c r="I691" i="15"/>
  <c r="I699" i="15"/>
  <c r="I706" i="15"/>
  <c r="I713" i="15"/>
  <c r="I721" i="15"/>
  <c r="I727" i="15"/>
  <c r="I734" i="15"/>
  <c r="I742" i="15"/>
  <c r="I749" i="15"/>
  <c r="I755" i="15"/>
  <c r="I760" i="15"/>
  <c r="I764" i="15"/>
  <c r="I768" i="15"/>
  <c r="I772" i="15"/>
  <c r="I776" i="15"/>
  <c r="I780" i="15"/>
  <c r="I784" i="15"/>
  <c r="I788" i="15"/>
  <c r="I792" i="15"/>
  <c r="I796" i="15"/>
  <c r="I800" i="15"/>
  <c r="I804" i="15"/>
  <c r="I808" i="15"/>
  <c r="I812" i="15"/>
  <c r="I816" i="15"/>
  <c r="I820" i="15"/>
  <c r="I824" i="15"/>
  <c r="I828" i="15"/>
  <c r="I832" i="15"/>
  <c r="I836" i="15"/>
  <c r="I840" i="15"/>
  <c r="I844" i="15"/>
  <c r="I848" i="15"/>
  <c r="I852" i="15"/>
  <c r="I856" i="15"/>
  <c r="I860" i="15"/>
  <c r="I864" i="15"/>
  <c r="I868" i="15"/>
  <c r="I872" i="15"/>
  <c r="I876" i="15"/>
  <c r="I880" i="15"/>
  <c r="I884" i="15"/>
  <c r="I888" i="15"/>
  <c r="I892" i="15"/>
  <c r="I896" i="15"/>
  <c r="I900" i="15"/>
  <c r="I904" i="15"/>
  <c r="I22" i="15"/>
  <c r="I26" i="15"/>
  <c r="I30" i="15"/>
  <c r="I34" i="15"/>
  <c r="I38" i="15"/>
  <c r="I42" i="15"/>
  <c r="I46" i="15"/>
  <c r="I50" i="15"/>
  <c r="I54" i="15"/>
  <c r="I58" i="15"/>
  <c r="I11" i="15"/>
  <c r="I15" i="15"/>
  <c r="I19" i="15"/>
  <c r="I423" i="15"/>
  <c r="I445" i="15"/>
  <c r="I466" i="15"/>
  <c r="I487" i="15"/>
  <c r="I509" i="15"/>
  <c r="I529" i="15"/>
  <c r="I539" i="15"/>
  <c r="I550" i="15"/>
  <c r="I558" i="15"/>
  <c r="I566" i="15"/>
  <c r="I573" i="15"/>
  <c r="I579" i="15"/>
  <c r="I587" i="15"/>
  <c r="I594" i="15"/>
  <c r="I601" i="15"/>
  <c r="I609" i="15"/>
  <c r="I615" i="15"/>
  <c r="I622" i="15"/>
  <c r="I630" i="15"/>
  <c r="I637" i="15"/>
  <c r="I643" i="15"/>
  <c r="I651" i="15"/>
  <c r="I658" i="15"/>
  <c r="I665" i="15"/>
  <c r="I673" i="15"/>
  <c r="I679" i="15"/>
  <c r="I686" i="15"/>
  <c r="I694" i="15"/>
  <c r="I701" i="15"/>
  <c r="I707" i="15"/>
  <c r="I715" i="15"/>
  <c r="I722" i="15"/>
  <c r="I729" i="15"/>
  <c r="I737" i="15"/>
  <c r="I743" i="15"/>
  <c r="I750" i="15"/>
  <c r="I757" i="15"/>
  <c r="I761" i="15"/>
  <c r="I765" i="15"/>
  <c r="I769" i="15"/>
  <c r="I773" i="15"/>
  <c r="I777" i="15"/>
  <c r="I781" i="15"/>
  <c r="I785" i="15"/>
  <c r="I789" i="15"/>
  <c r="I793" i="15"/>
  <c r="I797" i="15"/>
  <c r="I801" i="15"/>
  <c r="I805" i="15"/>
  <c r="I809" i="15"/>
  <c r="I813" i="15"/>
  <c r="I817" i="15"/>
  <c r="I821" i="15"/>
  <c r="I825" i="15"/>
  <c r="I829" i="15"/>
  <c r="I833" i="15"/>
  <c r="I837" i="15"/>
  <c r="I841" i="15"/>
  <c r="I845" i="15"/>
  <c r="I849" i="15"/>
  <c r="I853" i="15"/>
  <c r="I857" i="15"/>
  <c r="I861" i="15"/>
  <c r="I865" i="15"/>
  <c r="I869" i="15"/>
  <c r="I873" i="15"/>
  <c r="I877" i="15"/>
  <c r="I881" i="15"/>
  <c r="I885" i="15"/>
  <c r="I889" i="15"/>
  <c r="I893" i="15"/>
  <c r="I897" i="15"/>
  <c r="I901" i="15"/>
  <c r="I905" i="15"/>
  <c r="I23" i="15"/>
  <c r="I27" i="15"/>
  <c r="I31" i="15"/>
  <c r="I35" i="15"/>
  <c r="I39" i="15"/>
  <c r="I43" i="15"/>
  <c r="I47" i="15"/>
  <c r="I51" i="15"/>
  <c r="I55" i="15"/>
  <c r="I59" i="15"/>
  <c r="I12" i="15"/>
  <c r="I429" i="15"/>
  <c r="I450" i="15"/>
  <c r="I471" i="15"/>
  <c r="I493" i="15"/>
  <c r="I514" i="15"/>
  <c r="I530" i="15"/>
  <c r="I541" i="15"/>
  <c r="I551" i="15"/>
  <c r="I561" i="15"/>
  <c r="I567" i="15"/>
  <c r="I574" i="15"/>
  <c r="I582" i="15"/>
  <c r="I589" i="15"/>
  <c r="I595" i="15"/>
  <c r="I603" i="15"/>
  <c r="I610" i="15"/>
  <c r="I617" i="15"/>
  <c r="I625" i="15"/>
  <c r="I631" i="15"/>
  <c r="I638" i="15"/>
  <c r="I646" i="15"/>
  <c r="I653" i="15"/>
  <c r="I659" i="15"/>
  <c r="I667" i="15"/>
  <c r="I674" i="15"/>
  <c r="I681" i="15"/>
  <c r="I689" i="15"/>
  <c r="I695" i="15"/>
  <c r="I702" i="15"/>
  <c r="I710" i="15"/>
  <c r="I717" i="15"/>
  <c r="I723" i="15"/>
  <c r="I731" i="15"/>
  <c r="I738" i="15"/>
  <c r="I745" i="15"/>
  <c r="I753" i="15"/>
  <c r="I758" i="15"/>
  <c r="I762" i="15"/>
  <c r="I766" i="15"/>
  <c r="I770" i="15"/>
  <c r="I774" i="15"/>
  <c r="I778" i="15"/>
  <c r="I782" i="15"/>
  <c r="I786" i="15"/>
  <c r="I790" i="15"/>
  <c r="I794" i="15"/>
  <c r="I798" i="15"/>
  <c r="I802" i="15"/>
  <c r="I806" i="15"/>
  <c r="I810" i="15"/>
  <c r="I814" i="15"/>
  <c r="I818" i="15"/>
  <c r="I822" i="15"/>
  <c r="I434" i="15"/>
  <c r="I455" i="15"/>
  <c r="I477" i="15"/>
  <c r="I498" i="15"/>
  <c r="I519" i="15"/>
  <c r="I534" i="15"/>
  <c r="I545" i="15"/>
  <c r="I555" i="15"/>
  <c r="I562" i="15"/>
  <c r="I569" i="15"/>
  <c r="I577" i="15"/>
  <c r="I583" i="15"/>
  <c r="I590" i="15"/>
  <c r="I598" i="15"/>
  <c r="I605" i="15"/>
  <c r="I611" i="15"/>
  <c r="I619" i="15"/>
  <c r="I626" i="15"/>
  <c r="I633" i="15"/>
  <c r="I641" i="15"/>
  <c r="I647" i="15"/>
  <c r="I654" i="15"/>
  <c r="I662" i="15"/>
  <c r="I669" i="15"/>
  <c r="I675" i="15"/>
  <c r="I683" i="15"/>
  <c r="I690" i="15"/>
  <c r="I697" i="15"/>
  <c r="I705" i="15"/>
  <c r="I711" i="15"/>
  <c r="I718" i="15"/>
  <c r="I726" i="15"/>
  <c r="I733" i="15"/>
  <c r="I739" i="15"/>
  <c r="I747" i="15"/>
  <c r="I754" i="15"/>
  <c r="I759" i="15"/>
  <c r="I763" i="15"/>
  <c r="I767" i="15"/>
  <c r="I771" i="15"/>
  <c r="I775" i="15"/>
  <c r="I779" i="15"/>
  <c r="I783" i="15"/>
  <c r="I787" i="15"/>
  <c r="I791" i="15"/>
  <c r="I795" i="15"/>
  <c r="I799" i="15"/>
  <c r="I803" i="15"/>
  <c r="I807" i="15"/>
  <c r="I811" i="15"/>
  <c r="I815" i="15"/>
  <c r="I819" i="15"/>
  <c r="I823" i="15"/>
  <c r="I827" i="15"/>
  <c r="I831" i="15"/>
  <c r="I835" i="15"/>
  <c r="I839" i="15"/>
  <c r="I843" i="15"/>
  <c r="I847" i="15"/>
  <c r="I851" i="15"/>
  <c r="I855" i="15"/>
  <c r="I859" i="15"/>
  <c r="I863" i="15"/>
  <c r="I867" i="15"/>
  <c r="I871" i="15"/>
  <c r="I875" i="15"/>
  <c r="I879" i="15"/>
  <c r="I883" i="15"/>
  <c r="I887" i="15"/>
  <c r="I891" i="15"/>
  <c r="I895" i="15"/>
  <c r="I899" i="15"/>
  <c r="I903" i="15"/>
  <c r="I907" i="15"/>
  <c r="I25" i="15"/>
  <c r="I29" i="15"/>
  <c r="I33" i="15"/>
  <c r="I37" i="15"/>
  <c r="I41" i="15"/>
  <c r="I45" i="15"/>
  <c r="I49" i="15"/>
  <c r="I53" i="15"/>
  <c r="I57" i="15"/>
  <c r="I10" i="15"/>
  <c r="I14" i="15"/>
  <c r="I18" i="15"/>
  <c r="I8" i="15"/>
  <c r="I826" i="15"/>
  <c r="I842" i="15"/>
  <c r="I858" i="15"/>
  <c r="I874" i="15"/>
  <c r="I890" i="15"/>
  <c r="I906" i="15"/>
  <c r="I36" i="15"/>
  <c r="I52" i="15"/>
  <c r="I16" i="15"/>
  <c r="I830" i="15"/>
  <c r="I846" i="15"/>
  <c r="I862" i="15"/>
  <c r="I878" i="15"/>
  <c r="I894" i="15"/>
  <c r="I24" i="15"/>
  <c r="I40" i="15"/>
  <c r="I56" i="15"/>
  <c r="I17" i="15"/>
  <c r="I834" i="15"/>
  <c r="I850" i="15"/>
  <c r="I866" i="15"/>
  <c r="I882" i="15"/>
  <c r="I898" i="15"/>
  <c r="I28" i="15"/>
  <c r="I44" i="15"/>
  <c r="I9" i="15"/>
  <c r="I20" i="15"/>
  <c r="I838" i="15"/>
  <c r="I854" i="15"/>
  <c r="I870" i="15"/>
  <c r="I886" i="15"/>
  <c r="I902" i="15"/>
  <c r="I32" i="15"/>
  <c r="I48" i="15"/>
  <c r="I13" i="15"/>
  <c r="I21" i="15"/>
  <c r="O49" i="15"/>
  <c r="O46" i="15"/>
  <c r="O48" i="15"/>
  <c r="O47" i="15"/>
  <c r="H218" i="15"/>
  <c r="G218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253" i="15"/>
  <c r="F257" i="15"/>
  <c r="F261" i="15"/>
  <c r="F265" i="15"/>
  <c r="F269" i="15"/>
  <c r="F273" i="15"/>
  <c r="F277" i="15"/>
  <c r="F281" i="15"/>
  <c r="F285" i="15"/>
  <c r="F289" i="15"/>
  <c r="F293" i="15"/>
  <c r="F297" i="15"/>
  <c r="F301" i="15"/>
  <c r="F305" i="15"/>
  <c r="F309" i="15"/>
  <c r="F313" i="15"/>
  <c r="F317" i="15"/>
  <c r="F321" i="15"/>
  <c r="F325" i="15"/>
  <c r="F329" i="15"/>
  <c r="F333" i="15"/>
  <c r="F337" i="15"/>
  <c r="F341" i="15"/>
  <c r="F345" i="15"/>
  <c r="F349" i="15"/>
  <c r="F353" i="15"/>
  <c r="F357" i="15"/>
  <c r="F361" i="15"/>
  <c r="F365" i="15"/>
  <c r="F369" i="15"/>
  <c r="F373" i="15"/>
  <c r="F377" i="15"/>
  <c r="F381" i="15"/>
  <c r="F385" i="15"/>
  <c r="F389" i="15"/>
  <c r="F393" i="15"/>
  <c r="F397" i="15"/>
  <c r="F401" i="15"/>
  <c r="F405" i="15"/>
  <c r="F409" i="15"/>
  <c r="F413" i="15"/>
  <c r="F417" i="15"/>
  <c r="F421" i="15"/>
  <c r="F425" i="15"/>
  <c r="F429" i="15"/>
  <c r="F433" i="15"/>
  <c r="F437" i="15"/>
  <c r="F441" i="15"/>
  <c r="F445" i="15"/>
  <c r="F449" i="15"/>
  <c r="F453" i="15"/>
  <c r="F457" i="15"/>
  <c r="F461" i="15"/>
  <c r="F465" i="15"/>
  <c r="F469" i="15"/>
  <c r="F473" i="15"/>
  <c r="F477" i="15"/>
  <c r="F481" i="15"/>
  <c r="F485" i="15"/>
  <c r="F489" i="15"/>
  <c r="F493" i="15"/>
  <c r="F497" i="15"/>
  <c r="F501" i="15"/>
  <c r="F505" i="15"/>
  <c r="F509" i="15"/>
  <c r="F513" i="15"/>
  <c r="F517" i="15"/>
  <c r="F521" i="15"/>
  <c r="F525" i="15"/>
  <c r="F529" i="15"/>
  <c r="F533" i="15"/>
  <c r="F537" i="15"/>
  <c r="F541" i="15"/>
  <c r="F545" i="15"/>
  <c r="F549" i="15"/>
  <c r="F553" i="15"/>
  <c r="F557" i="15"/>
  <c r="F561" i="15"/>
  <c r="F565" i="15"/>
  <c r="F569" i="15"/>
  <c r="F573" i="15"/>
  <c r="F577" i="15"/>
  <c r="F581" i="15"/>
  <c r="F585" i="15"/>
  <c r="F589" i="15"/>
  <c r="F593" i="15"/>
  <c r="F597" i="15"/>
  <c r="F601" i="15"/>
  <c r="F605" i="15"/>
  <c r="F609" i="15"/>
  <c r="F613" i="15"/>
  <c r="F617" i="15"/>
  <c r="F621" i="15"/>
  <c r="F625" i="15"/>
  <c r="F629" i="15"/>
  <c r="F633" i="15"/>
  <c r="F637" i="15"/>
  <c r="F641" i="15"/>
  <c r="F645" i="15"/>
  <c r="F649" i="15"/>
  <c r="F653" i="15"/>
  <c r="F657" i="15"/>
  <c r="F661" i="15"/>
  <c r="F665" i="15"/>
  <c r="F669" i="15"/>
  <c r="F673" i="15"/>
  <c r="F677" i="15"/>
  <c r="F681" i="15"/>
  <c r="F685" i="15"/>
  <c r="F689" i="15"/>
  <c r="F693" i="15"/>
  <c r="F697" i="15"/>
  <c r="F701" i="15"/>
  <c r="F705" i="15"/>
  <c r="F709" i="15"/>
  <c r="F713" i="15"/>
  <c r="F717" i="15"/>
  <c r="F721" i="15"/>
  <c r="F725" i="15"/>
  <c r="F729" i="15"/>
  <c r="F733" i="15"/>
  <c r="F737" i="15"/>
  <c r="F741" i="15"/>
  <c r="F745" i="15"/>
  <c r="F749" i="15"/>
  <c r="F753" i="15"/>
  <c r="F757" i="15"/>
  <c r="F761" i="15"/>
  <c r="F765" i="15"/>
  <c r="F769" i="15"/>
  <c r="F773" i="15"/>
  <c r="F777" i="15"/>
  <c r="F781" i="15"/>
  <c r="F785" i="15"/>
  <c r="F789" i="15"/>
  <c r="F793" i="15"/>
  <c r="F797" i="15"/>
  <c r="F801" i="15"/>
  <c r="F805" i="15"/>
  <c r="F809" i="15"/>
  <c r="F813" i="15"/>
  <c r="F817" i="15"/>
  <c r="F821" i="15"/>
  <c r="F825" i="15"/>
  <c r="F829" i="15"/>
  <c r="F833" i="15"/>
  <c r="F837" i="15"/>
  <c r="F841" i="15"/>
  <c r="F845" i="15"/>
  <c r="F849" i="15"/>
  <c r="F853" i="15"/>
  <c r="F857" i="15"/>
  <c r="F861" i="15"/>
  <c r="F865" i="15"/>
  <c r="F869" i="15"/>
  <c r="F873" i="15"/>
  <c r="F877" i="15"/>
  <c r="F881" i="15"/>
  <c r="F885" i="15"/>
  <c r="F889" i="15"/>
  <c r="F893" i="15"/>
  <c r="F897" i="15"/>
  <c r="F901" i="15"/>
  <c r="F905" i="15"/>
  <c r="F129" i="15"/>
  <c r="F133" i="15"/>
  <c r="F137" i="15"/>
  <c r="F141" i="15"/>
  <c r="F145" i="15"/>
  <c r="F149" i="15"/>
  <c r="F153" i="15"/>
  <c r="F157" i="15"/>
  <c r="F104" i="15"/>
  <c r="F108" i="15"/>
  <c r="F112" i="15"/>
  <c r="F116" i="15"/>
  <c r="F120" i="15"/>
  <c r="F124" i="15"/>
  <c r="F71" i="15"/>
  <c r="F75" i="15"/>
  <c r="F79" i="15"/>
  <c r="F83" i="15"/>
  <c r="F87" i="15"/>
  <c r="F91" i="15"/>
  <c r="F95" i="15"/>
  <c r="F99" i="15"/>
  <c r="F45" i="15"/>
  <c r="F49" i="15"/>
  <c r="F53" i="15"/>
  <c r="F57" i="15"/>
  <c r="F61" i="15"/>
  <c r="F65" i="15"/>
  <c r="F69" i="15"/>
  <c r="F29" i="15"/>
  <c r="F33" i="15"/>
  <c r="F37" i="15"/>
  <c r="F41" i="15"/>
  <c r="F11" i="15"/>
  <c r="F15" i="15"/>
  <c r="F19" i="15"/>
  <c r="F23" i="15"/>
  <c r="F8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254" i="15"/>
  <c r="F258" i="15"/>
  <c r="F262" i="15"/>
  <c r="F266" i="15"/>
  <c r="F270" i="15"/>
  <c r="F274" i="15"/>
  <c r="F278" i="15"/>
  <c r="F282" i="15"/>
  <c r="F286" i="15"/>
  <c r="F290" i="15"/>
  <c r="F294" i="15"/>
  <c r="F298" i="15"/>
  <c r="F302" i="15"/>
  <c r="F306" i="15"/>
  <c r="F310" i="15"/>
  <c r="F314" i="15"/>
  <c r="F318" i="15"/>
  <c r="F322" i="15"/>
  <c r="F326" i="15"/>
  <c r="F330" i="15"/>
  <c r="F334" i="15"/>
  <c r="F338" i="15"/>
  <c r="F342" i="15"/>
  <c r="F346" i="15"/>
  <c r="F350" i="15"/>
  <c r="F354" i="15"/>
  <c r="F358" i="15"/>
  <c r="F362" i="15"/>
  <c r="F366" i="15"/>
  <c r="F370" i="15"/>
  <c r="F374" i="15"/>
  <c r="F378" i="15"/>
  <c r="F382" i="15"/>
  <c r="F386" i="15"/>
  <c r="F390" i="15"/>
  <c r="F394" i="15"/>
  <c r="F398" i="15"/>
  <c r="F402" i="15"/>
  <c r="F406" i="15"/>
  <c r="F410" i="15"/>
  <c r="F414" i="15"/>
  <c r="F418" i="15"/>
  <c r="F422" i="15"/>
  <c r="F426" i="15"/>
  <c r="F430" i="15"/>
  <c r="F434" i="15"/>
  <c r="F438" i="15"/>
  <c r="F442" i="15"/>
  <c r="F446" i="15"/>
  <c r="F450" i="15"/>
  <c r="F454" i="15"/>
  <c r="F458" i="15"/>
  <c r="F462" i="15"/>
  <c r="F466" i="15"/>
  <c r="F470" i="15"/>
  <c r="F474" i="15"/>
  <c r="F478" i="15"/>
  <c r="F482" i="15"/>
  <c r="F486" i="15"/>
  <c r="F490" i="15"/>
  <c r="F494" i="15"/>
  <c r="F498" i="15"/>
  <c r="F502" i="15"/>
  <c r="F506" i="15"/>
  <c r="F510" i="15"/>
  <c r="F514" i="15"/>
  <c r="F518" i="15"/>
  <c r="F522" i="15"/>
  <c r="F526" i="15"/>
  <c r="F530" i="15"/>
  <c r="F534" i="15"/>
  <c r="F538" i="15"/>
  <c r="F542" i="15"/>
  <c r="F546" i="15"/>
  <c r="F550" i="15"/>
  <c r="F554" i="15"/>
  <c r="F558" i="15"/>
  <c r="F562" i="15"/>
  <c r="F566" i="15"/>
  <c r="F570" i="15"/>
  <c r="F574" i="15"/>
  <c r="F578" i="15"/>
  <c r="F582" i="15"/>
  <c r="F586" i="15"/>
  <c r="F590" i="15"/>
  <c r="F594" i="15"/>
  <c r="F598" i="15"/>
  <c r="F602" i="15"/>
  <c r="F606" i="15"/>
  <c r="F610" i="15"/>
  <c r="F614" i="15"/>
  <c r="F618" i="15"/>
  <c r="F622" i="15"/>
  <c r="F626" i="15"/>
  <c r="F630" i="15"/>
  <c r="F634" i="15"/>
  <c r="F638" i="15"/>
  <c r="F642" i="15"/>
  <c r="F646" i="15"/>
  <c r="F650" i="15"/>
  <c r="F654" i="15"/>
  <c r="F658" i="15"/>
  <c r="F662" i="15"/>
  <c r="F666" i="15"/>
  <c r="F670" i="15"/>
  <c r="F674" i="15"/>
  <c r="F678" i="15"/>
  <c r="F682" i="15"/>
  <c r="F686" i="15"/>
  <c r="F690" i="15"/>
  <c r="F694" i="15"/>
  <c r="F698" i="15"/>
  <c r="F702" i="15"/>
  <c r="F706" i="15"/>
  <c r="F710" i="15"/>
  <c r="F714" i="15"/>
  <c r="F718" i="15"/>
  <c r="F722" i="15"/>
  <c r="F726" i="15"/>
  <c r="F730" i="15"/>
  <c r="F734" i="15"/>
  <c r="F738" i="15"/>
  <c r="F742" i="15"/>
  <c r="F746" i="15"/>
  <c r="F750" i="15"/>
  <c r="F754" i="15"/>
  <c r="F758" i="15"/>
  <c r="F762" i="15"/>
  <c r="F766" i="15"/>
  <c r="F770" i="15"/>
  <c r="F774" i="15"/>
  <c r="F778" i="15"/>
  <c r="F782" i="15"/>
  <c r="F786" i="15"/>
  <c r="F790" i="15"/>
  <c r="F794" i="15"/>
  <c r="F798" i="15"/>
  <c r="F802" i="15"/>
  <c r="F806" i="15"/>
  <c r="F810" i="15"/>
  <c r="F814" i="15"/>
  <c r="F818" i="15"/>
  <c r="F822" i="15"/>
  <c r="F826" i="15"/>
  <c r="F830" i="15"/>
  <c r="F834" i="15"/>
  <c r="F838" i="15"/>
  <c r="F842" i="15"/>
  <c r="F846" i="15"/>
  <c r="F850" i="15"/>
  <c r="F854" i="15"/>
  <c r="F858" i="15"/>
  <c r="F862" i="15"/>
  <c r="F866" i="15"/>
  <c r="F870" i="15"/>
  <c r="F874" i="15"/>
  <c r="F878" i="15"/>
  <c r="F882" i="15"/>
  <c r="F886" i="15"/>
  <c r="F890" i="15"/>
  <c r="F894" i="15"/>
  <c r="F898" i="15"/>
  <c r="F902" i="15"/>
  <c r="F906" i="15"/>
  <c r="F130" i="15"/>
  <c r="F134" i="15"/>
  <c r="F138" i="15"/>
  <c r="F142" i="15"/>
  <c r="F146" i="15"/>
  <c r="F150" i="15"/>
  <c r="F154" i="15"/>
  <c r="F101" i="15"/>
  <c r="F105" i="15"/>
  <c r="F109" i="15"/>
  <c r="F113" i="15"/>
  <c r="F117" i="15"/>
  <c r="F121" i="15"/>
  <c r="F125" i="15"/>
  <c r="F72" i="15"/>
  <c r="F76" i="15"/>
  <c r="F80" i="15"/>
  <c r="F84" i="15"/>
  <c r="F88" i="15"/>
  <c r="F92" i="15"/>
  <c r="F96" i="15"/>
  <c r="F100" i="15"/>
  <c r="F46" i="15"/>
  <c r="F50" i="15"/>
  <c r="F54" i="15"/>
  <c r="F58" i="15"/>
  <c r="F62" i="15"/>
  <c r="F66" i="15"/>
  <c r="F70" i="15"/>
  <c r="F30" i="15"/>
  <c r="F34" i="15"/>
  <c r="F38" i="15"/>
  <c r="F42" i="15"/>
  <c r="F12" i="15"/>
  <c r="F16" i="15"/>
  <c r="F20" i="15"/>
  <c r="F24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51" i="15"/>
  <c r="F255" i="15"/>
  <c r="F259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252" i="15"/>
  <c r="F256" i="15"/>
  <c r="F260" i="15"/>
  <c r="F264" i="15"/>
  <c r="F268" i="15"/>
  <c r="F272" i="15"/>
  <c r="F276" i="15"/>
  <c r="F280" i="15"/>
  <c r="F284" i="15"/>
  <c r="F288" i="15"/>
  <c r="F292" i="15"/>
  <c r="F296" i="15"/>
  <c r="F300" i="15"/>
  <c r="F304" i="15"/>
  <c r="F308" i="15"/>
  <c r="F312" i="15"/>
  <c r="F316" i="15"/>
  <c r="F320" i="15"/>
  <c r="F324" i="15"/>
  <c r="F328" i="15"/>
  <c r="F332" i="15"/>
  <c r="F336" i="15"/>
  <c r="F340" i="15"/>
  <c r="F344" i="15"/>
  <c r="F348" i="15"/>
  <c r="F352" i="15"/>
  <c r="F356" i="15"/>
  <c r="F360" i="15"/>
  <c r="F364" i="15"/>
  <c r="F368" i="15"/>
  <c r="F372" i="15"/>
  <c r="F376" i="15"/>
  <c r="F380" i="15"/>
  <c r="F384" i="15"/>
  <c r="F388" i="15"/>
  <c r="F392" i="15"/>
  <c r="F396" i="15"/>
  <c r="F400" i="15"/>
  <c r="F404" i="15"/>
  <c r="F408" i="15"/>
  <c r="F412" i="15"/>
  <c r="F416" i="15"/>
  <c r="F420" i="15"/>
  <c r="F424" i="15"/>
  <c r="F428" i="15"/>
  <c r="F432" i="15"/>
  <c r="F436" i="15"/>
  <c r="F440" i="15"/>
  <c r="F444" i="15"/>
  <c r="F448" i="15"/>
  <c r="F452" i="15"/>
  <c r="F456" i="15"/>
  <c r="F460" i="15"/>
  <c r="F464" i="15"/>
  <c r="F468" i="15"/>
  <c r="F472" i="15"/>
  <c r="F476" i="15"/>
  <c r="F480" i="15"/>
  <c r="F484" i="15"/>
  <c r="F263" i="15"/>
  <c r="F279" i="15"/>
  <c r="F295" i="15"/>
  <c r="F311" i="15"/>
  <c r="F327" i="15"/>
  <c r="F343" i="15"/>
  <c r="F359" i="15"/>
  <c r="F375" i="15"/>
  <c r="F391" i="15"/>
  <c r="F407" i="15"/>
  <c r="F423" i="15"/>
  <c r="F439" i="15"/>
  <c r="F455" i="15"/>
  <c r="F471" i="15"/>
  <c r="F487" i="15"/>
  <c r="F495" i="15"/>
  <c r="F503" i="15"/>
  <c r="F511" i="15"/>
  <c r="F519" i="15"/>
  <c r="F527" i="15"/>
  <c r="F535" i="15"/>
  <c r="F543" i="15"/>
  <c r="F551" i="15"/>
  <c r="F559" i="15"/>
  <c r="F567" i="15"/>
  <c r="F575" i="15"/>
  <c r="F583" i="15"/>
  <c r="F591" i="15"/>
  <c r="F599" i="15"/>
  <c r="F607" i="15"/>
  <c r="F615" i="15"/>
  <c r="F623" i="15"/>
  <c r="F631" i="15"/>
  <c r="F639" i="15"/>
  <c r="F647" i="15"/>
  <c r="F655" i="15"/>
  <c r="F663" i="15"/>
  <c r="F671" i="15"/>
  <c r="F679" i="15"/>
  <c r="F687" i="15"/>
  <c r="F695" i="15"/>
  <c r="F703" i="15"/>
  <c r="F711" i="15"/>
  <c r="F719" i="15"/>
  <c r="F727" i="15"/>
  <c r="F735" i="15"/>
  <c r="F743" i="15"/>
  <c r="F751" i="15"/>
  <c r="F759" i="15"/>
  <c r="F767" i="15"/>
  <c r="F775" i="15"/>
  <c r="F783" i="15"/>
  <c r="F791" i="15"/>
  <c r="F799" i="15"/>
  <c r="F807" i="15"/>
  <c r="F815" i="15"/>
  <c r="F823" i="15"/>
  <c r="F831" i="15"/>
  <c r="F839" i="15"/>
  <c r="F847" i="15"/>
  <c r="F855" i="15"/>
  <c r="F863" i="15"/>
  <c r="F871" i="15"/>
  <c r="F879" i="15"/>
  <c r="F887" i="15"/>
  <c r="F895" i="15"/>
  <c r="F903" i="15"/>
  <c r="F131" i="15"/>
  <c r="F139" i="15"/>
  <c r="F147" i="15"/>
  <c r="F155" i="15"/>
  <c r="F106" i="15"/>
  <c r="F114" i="15"/>
  <c r="F122" i="15"/>
  <c r="F73" i="15"/>
  <c r="F81" i="15"/>
  <c r="F89" i="15"/>
  <c r="F97" i="15"/>
  <c r="F47" i="15"/>
  <c r="F55" i="15"/>
  <c r="F63" i="15"/>
  <c r="F27" i="15"/>
  <c r="F35" i="15"/>
  <c r="F9" i="15"/>
  <c r="F17" i="15"/>
  <c r="F25" i="15"/>
  <c r="F267" i="15"/>
  <c r="F283" i="15"/>
  <c r="F299" i="15"/>
  <c r="F315" i="15"/>
  <c r="F331" i="15"/>
  <c r="F347" i="15"/>
  <c r="F363" i="15"/>
  <c r="F379" i="15"/>
  <c r="F395" i="15"/>
  <c r="F411" i="15"/>
  <c r="F427" i="15"/>
  <c r="F443" i="15"/>
  <c r="F459" i="15"/>
  <c r="F475" i="15"/>
  <c r="F488" i="15"/>
  <c r="F496" i="15"/>
  <c r="F504" i="15"/>
  <c r="F512" i="15"/>
  <c r="F520" i="15"/>
  <c r="F528" i="15"/>
  <c r="F536" i="15"/>
  <c r="F544" i="15"/>
  <c r="F552" i="15"/>
  <c r="F560" i="15"/>
  <c r="F568" i="15"/>
  <c r="F576" i="15"/>
  <c r="F584" i="15"/>
  <c r="F592" i="15"/>
  <c r="F600" i="15"/>
  <c r="F608" i="15"/>
  <c r="F616" i="15"/>
  <c r="F624" i="15"/>
  <c r="F632" i="15"/>
  <c r="F640" i="15"/>
  <c r="F648" i="15"/>
  <c r="F656" i="15"/>
  <c r="F664" i="15"/>
  <c r="F672" i="15"/>
  <c r="F680" i="15"/>
  <c r="F688" i="15"/>
  <c r="F696" i="15"/>
  <c r="F704" i="15"/>
  <c r="F712" i="15"/>
  <c r="F720" i="15"/>
  <c r="F728" i="15"/>
  <c r="F736" i="15"/>
  <c r="F744" i="15"/>
  <c r="F752" i="15"/>
  <c r="F760" i="15"/>
  <c r="F768" i="15"/>
  <c r="F776" i="15"/>
  <c r="F784" i="15"/>
  <c r="F792" i="15"/>
  <c r="F800" i="15"/>
  <c r="F808" i="15"/>
  <c r="F816" i="15"/>
  <c r="F824" i="15"/>
  <c r="F832" i="15"/>
  <c r="F840" i="15"/>
  <c r="F848" i="15"/>
  <c r="F856" i="15"/>
  <c r="F864" i="15"/>
  <c r="F872" i="15"/>
  <c r="F880" i="15"/>
  <c r="F888" i="15"/>
  <c r="F896" i="15"/>
  <c r="F904" i="15"/>
  <c r="F132" i="15"/>
  <c r="F140" i="15"/>
  <c r="F148" i="15"/>
  <c r="F156" i="15"/>
  <c r="F107" i="15"/>
  <c r="F115" i="15"/>
  <c r="F123" i="15"/>
  <c r="F74" i="15"/>
  <c r="F82" i="15"/>
  <c r="F90" i="15"/>
  <c r="F98" i="15"/>
  <c r="F48" i="15"/>
  <c r="F56" i="15"/>
  <c r="F64" i="15"/>
  <c r="F28" i="15"/>
  <c r="F36" i="15"/>
  <c r="F10" i="15"/>
  <c r="F18" i="15"/>
  <c r="F26" i="15"/>
  <c r="F271" i="15"/>
  <c r="F287" i="15"/>
  <c r="F303" i="15"/>
  <c r="F319" i="15"/>
  <c r="F335" i="15"/>
  <c r="F351" i="15"/>
  <c r="F367" i="15"/>
  <c r="F383" i="15"/>
  <c r="F399" i="15"/>
  <c r="F415" i="15"/>
  <c r="F431" i="15"/>
  <c r="F447" i="15"/>
  <c r="F463" i="15"/>
  <c r="F479" i="15"/>
  <c r="F491" i="15"/>
  <c r="F499" i="15"/>
  <c r="F507" i="15"/>
  <c r="F515" i="15"/>
  <c r="F523" i="15"/>
  <c r="F531" i="15"/>
  <c r="F539" i="15"/>
  <c r="F547" i="15"/>
  <c r="F555" i="15"/>
  <c r="F563" i="15"/>
  <c r="F571" i="15"/>
  <c r="F579" i="15"/>
  <c r="F587" i="15"/>
  <c r="F595" i="15"/>
  <c r="F603" i="15"/>
  <c r="F611" i="15"/>
  <c r="F619" i="15"/>
  <c r="F627" i="15"/>
  <c r="F635" i="15"/>
  <c r="F643" i="15"/>
  <c r="F651" i="15"/>
  <c r="F659" i="15"/>
  <c r="F667" i="15"/>
  <c r="F675" i="15"/>
  <c r="F683" i="15"/>
  <c r="F691" i="15"/>
  <c r="F699" i="15"/>
  <c r="F707" i="15"/>
  <c r="F715" i="15"/>
  <c r="F723" i="15"/>
  <c r="F731" i="15"/>
  <c r="F739" i="15"/>
  <c r="F747" i="15"/>
  <c r="F755" i="15"/>
  <c r="F763" i="15"/>
  <c r="F771" i="15"/>
  <c r="F779" i="15"/>
  <c r="F787" i="15"/>
  <c r="F795" i="15"/>
  <c r="F803" i="15"/>
  <c r="F811" i="15"/>
  <c r="F819" i="15"/>
  <c r="F827" i="15"/>
  <c r="F835" i="15"/>
  <c r="F843" i="15"/>
  <c r="F851" i="15"/>
  <c r="F859" i="15"/>
  <c r="F867" i="15"/>
  <c r="F875" i="15"/>
  <c r="F883" i="15"/>
  <c r="F891" i="15"/>
  <c r="F899" i="15"/>
  <c r="F907" i="15"/>
  <c r="F135" i="15"/>
  <c r="F143" i="15"/>
  <c r="F151" i="15"/>
  <c r="F102" i="15"/>
  <c r="F110" i="15"/>
  <c r="F118" i="15"/>
  <c r="F126" i="15"/>
  <c r="F77" i="15"/>
  <c r="F85" i="15"/>
  <c r="F93" i="15"/>
  <c r="F43" i="15"/>
  <c r="F51" i="15"/>
  <c r="F59" i="15"/>
  <c r="F67" i="15"/>
  <c r="F31" i="15"/>
  <c r="F39" i="15"/>
  <c r="F13" i="15"/>
  <c r="F21" i="15"/>
  <c r="F275" i="15"/>
  <c r="F291" i="15"/>
  <c r="F307" i="15"/>
  <c r="F323" i="15"/>
  <c r="F339" i="15"/>
  <c r="F355" i="15"/>
  <c r="F371" i="15"/>
  <c r="F387" i="15"/>
  <c r="F403" i="15"/>
  <c r="F419" i="15"/>
  <c r="F435" i="15"/>
  <c r="F451" i="15"/>
  <c r="F467" i="15"/>
  <c r="F483" i="15"/>
  <c r="F492" i="15"/>
  <c r="F500" i="15"/>
  <c r="F508" i="15"/>
  <c r="F516" i="15"/>
  <c r="F524" i="15"/>
  <c r="F532" i="15"/>
  <c r="F540" i="15"/>
  <c r="F548" i="15"/>
  <c r="F556" i="15"/>
  <c r="F564" i="15"/>
  <c r="F572" i="15"/>
  <c r="F580" i="15"/>
  <c r="F588" i="15"/>
  <c r="F596" i="15"/>
  <c r="F604" i="15"/>
  <c r="F612" i="15"/>
  <c r="F620" i="15"/>
  <c r="F628" i="15"/>
  <c r="F636" i="15"/>
  <c r="F644" i="15"/>
  <c r="F652" i="15"/>
  <c r="F660" i="15"/>
  <c r="F668" i="15"/>
  <c r="F676" i="15"/>
  <c r="F684" i="15"/>
  <c r="F692" i="15"/>
  <c r="F700" i="15"/>
  <c r="F708" i="15"/>
  <c r="F716" i="15"/>
  <c r="F724" i="15"/>
  <c r="F732" i="15"/>
  <c r="F740" i="15"/>
  <c r="F748" i="15"/>
  <c r="F756" i="15"/>
  <c r="F764" i="15"/>
  <c r="F772" i="15"/>
  <c r="F780" i="15"/>
  <c r="F788" i="15"/>
  <c r="F796" i="15"/>
  <c r="F804" i="15"/>
  <c r="F812" i="15"/>
  <c r="F820" i="15"/>
  <c r="F828" i="15"/>
  <c r="F836" i="15"/>
  <c r="F844" i="15"/>
  <c r="F852" i="15"/>
  <c r="F860" i="15"/>
  <c r="F868" i="15"/>
  <c r="F876" i="15"/>
  <c r="F884" i="15"/>
  <c r="F892" i="15"/>
  <c r="F900" i="15"/>
  <c r="F128" i="15"/>
  <c r="F136" i="15"/>
  <c r="F144" i="15"/>
  <c r="F152" i="15"/>
  <c r="F103" i="15"/>
  <c r="F111" i="15"/>
  <c r="F119" i="15"/>
  <c r="F127" i="15"/>
  <c r="F78" i="15"/>
  <c r="F86" i="15"/>
  <c r="F94" i="15"/>
  <c r="F44" i="15"/>
  <c r="F52" i="15"/>
  <c r="F60" i="15"/>
  <c r="F68" i="15"/>
  <c r="F32" i="15"/>
  <c r="F40" i="15"/>
  <c r="F14" i="15"/>
  <c r="F22" i="15"/>
  <c r="AI6" i="15"/>
  <c r="F41" i="11"/>
  <c r="G41" i="11" s="1"/>
  <c r="D397" i="15" s="1"/>
  <c r="F162" i="10"/>
  <c r="G162" i="10" s="1"/>
  <c r="D338" i="15" s="1"/>
  <c r="F163" i="10"/>
  <c r="G163" i="10" s="1"/>
  <c r="D339" i="15" s="1"/>
  <c r="F164" i="10"/>
  <c r="G164" i="10" s="1"/>
  <c r="D340" i="15" s="1"/>
  <c r="F165" i="10"/>
  <c r="G165" i="10" s="1"/>
  <c r="D341" i="15" s="1"/>
  <c r="F166" i="10"/>
  <c r="G166" i="10" s="1"/>
  <c r="D342" i="15" s="1"/>
  <c r="F167" i="10"/>
  <c r="G167" i="10" s="1"/>
  <c r="D343" i="15" s="1"/>
  <c r="F168" i="10"/>
  <c r="G168" i="10" s="1"/>
  <c r="D344" i="15" s="1"/>
  <c r="F169" i="10"/>
  <c r="G169" i="10" s="1"/>
  <c r="D345" i="15" s="1"/>
  <c r="F170" i="10"/>
  <c r="G170" i="10" s="1"/>
  <c r="D346" i="15" s="1"/>
  <c r="F171" i="10"/>
  <c r="G171" i="10" s="1"/>
  <c r="D347" i="15" s="1"/>
  <c r="F172" i="10"/>
  <c r="G172" i="10" s="1"/>
  <c r="D348" i="15" s="1"/>
  <c r="F173" i="10"/>
  <c r="G173" i="10" s="1"/>
  <c r="D349" i="15" s="1"/>
  <c r="F174" i="10"/>
  <c r="G174" i="10" s="1"/>
  <c r="D350" i="15" s="1"/>
  <c r="F175" i="10"/>
  <c r="G175" i="10" s="1"/>
  <c r="D351" i="15" s="1"/>
  <c r="F176" i="10"/>
  <c r="G176" i="10" s="1"/>
  <c r="D352" i="15" s="1"/>
  <c r="F177" i="10"/>
  <c r="G177" i="10" s="1"/>
  <c r="D353" i="15" s="1"/>
  <c r="F178" i="10"/>
  <c r="G178" i="10" s="1"/>
  <c r="D354" i="15" s="1"/>
  <c r="F179" i="10"/>
  <c r="G179" i="10" s="1"/>
  <c r="D355" i="15" s="1"/>
  <c r="F180" i="10"/>
  <c r="G180" i="10" s="1"/>
  <c r="D356" i="15" s="1"/>
  <c r="F181" i="10"/>
  <c r="G181" i="10" s="1"/>
  <c r="D357" i="15" s="1"/>
  <c r="F182" i="10"/>
  <c r="G182" i="10" s="1"/>
  <c r="D358" i="15" s="1"/>
  <c r="F183" i="10"/>
  <c r="G183" i="10" s="1"/>
  <c r="D359" i="15" s="1"/>
  <c r="F184" i="10"/>
  <c r="G184" i="10" s="1"/>
  <c r="D360" i="15" s="1"/>
  <c r="F185" i="10"/>
  <c r="G185" i="10" s="1"/>
  <c r="D361" i="15" s="1"/>
  <c r="F186" i="10"/>
  <c r="G186" i="10" s="1"/>
  <c r="D362" i="15" s="1"/>
  <c r="F187" i="10"/>
  <c r="G187" i="10" s="1"/>
  <c r="D363" i="15" s="1"/>
  <c r="F188" i="10"/>
  <c r="G188" i="10" s="1"/>
  <c r="D364" i="15" s="1"/>
  <c r="F189" i="10"/>
  <c r="G189" i="10" s="1"/>
  <c r="D365" i="15" s="1"/>
  <c r="F190" i="10"/>
  <c r="G190" i="10" s="1"/>
  <c r="D366" i="15" s="1"/>
  <c r="F191" i="10"/>
  <c r="G191" i="10" s="1"/>
  <c r="D367" i="15" s="1"/>
  <c r="F162" i="12"/>
  <c r="G162" i="12" s="1"/>
  <c r="D698" i="15" s="1"/>
  <c r="F163" i="12"/>
  <c r="G163" i="12" s="1"/>
  <c r="D699" i="15" s="1"/>
  <c r="F164" i="12"/>
  <c r="G164" i="12" s="1"/>
  <c r="D700" i="15" s="1"/>
  <c r="F165" i="12"/>
  <c r="G165" i="12" s="1"/>
  <c r="D701" i="15" s="1"/>
  <c r="F166" i="12"/>
  <c r="G166" i="12" s="1"/>
  <c r="D702" i="15" s="1"/>
  <c r="F167" i="12"/>
  <c r="G167" i="12" s="1"/>
  <c r="D703" i="15" s="1"/>
  <c r="F168" i="12"/>
  <c r="G168" i="12" s="1"/>
  <c r="D704" i="15" s="1"/>
  <c r="F169" i="12"/>
  <c r="G169" i="12" s="1"/>
  <c r="D705" i="15" s="1"/>
  <c r="F170" i="12"/>
  <c r="G170" i="12" s="1"/>
  <c r="D706" i="15" s="1"/>
  <c r="F171" i="12"/>
  <c r="G171" i="12" s="1"/>
  <c r="D707" i="15" s="1"/>
  <c r="F172" i="12"/>
  <c r="G172" i="12" s="1"/>
  <c r="D708" i="15" s="1"/>
  <c r="F173" i="12"/>
  <c r="G173" i="12" s="1"/>
  <c r="D709" i="15" s="1"/>
  <c r="F174" i="12"/>
  <c r="G174" i="12" s="1"/>
  <c r="D710" i="15" s="1"/>
  <c r="F175" i="12"/>
  <c r="G175" i="12" s="1"/>
  <c r="D711" i="15" s="1"/>
  <c r="F176" i="12"/>
  <c r="G176" i="12" s="1"/>
  <c r="D712" i="15" s="1"/>
  <c r="F177" i="12"/>
  <c r="G177" i="12" s="1"/>
  <c r="D713" i="15" s="1"/>
  <c r="F178" i="12"/>
  <c r="G178" i="12" s="1"/>
  <c r="D714" i="15" s="1"/>
  <c r="F179" i="12"/>
  <c r="G179" i="12" s="1"/>
  <c r="D715" i="15" s="1"/>
  <c r="F180" i="12"/>
  <c r="G180" i="12" s="1"/>
  <c r="D716" i="15" s="1"/>
  <c r="F181" i="12"/>
  <c r="G181" i="12" s="1"/>
  <c r="D717" i="15" s="1"/>
  <c r="F182" i="12"/>
  <c r="G182" i="12" s="1"/>
  <c r="D718" i="15" s="1"/>
  <c r="F183" i="12"/>
  <c r="G183" i="12" s="1"/>
  <c r="D719" i="15" s="1"/>
  <c r="F184" i="12"/>
  <c r="G184" i="12" s="1"/>
  <c r="D720" i="15" s="1"/>
  <c r="F185" i="12"/>
  <c r="G185" i="12" s="1"/>
  <c r="D721" i="15" s="1"/>
  <c r="F186" i="12"/>
  <c r="G186" i="12" s="1"/>
  <c r="D722" i="15" s="1"/>
  <c r="F187" i="12"/>
  <c r="G187" i="12" s="1"/>
  <c r="D723" i="15" s="1"/>
  <c r="F188" i="12"/>
  <c r="G188" i="12" s="1"/>
  <c r="D724" i="15" s="1"/>
  <c r="F189" i="12"/>
  <c r="G189" i="12" s="1"/>
  <c r="D725" i="15" s="1"/>
  <c r="F190" i="12"/>
  <c r="G190" i="12" s="1"/>
  <c r="D726" i="15" s="1"/>
  <c r="F191" i="12"/>
  <c r="G191" i="12" s="1"/>
  <c r="D727" i="15" s="1"/>
  <c r="F162" i="13"/>
  <c r="G162" i="13" s="1"/>
  <c r="D878" i="15" s="1"/>
  <c r="F163" i="13"/>
  <c r="G163" i="13" s="1"/>
  <c r="D879" i="15" s="1"/>
  <c r="F164" i="13"/>
  <c r="G164" i="13" s="1"/>
  <c r="D880" i="15" s="1"/>
  <c r="F165" i="13"/>
  <c r="G165" i="13" s="1"/>
  <c r="D881" i="15" s="1"/>
  <c r="F166" i="13"/>
  <c r="G166" i="13" s="1"/>
  <c r="D882" i="15" s="1"/>
  <c r="F167" i="13"/>
  <c r="G167" i="13" s="1"/>
  <c r="D883" i="15" s="1"/>
  <c r="F168" i="13"/>
  <c r="G168" i="13" s="1"/>
  <c r="D884" i="15" s="1"/>
  <c r="F169" i="13"/>
  <c r="G169" i="13" s="1"/>
  <c r="D885" i="15" s="1"/>
  <c r="F170" i="13"/>
  <c r="G170" i="13" s="1"/>
  <c r="D886" i="15" s="1"/>
  <c r="F171" i="13"/>
  <c r="G171" i="13" s="1"/>
  <c r="D887" i="15" s="1"/>
  <c r="F172" i="13"/>
  <c r="G172" i="13" s="1"/>
  <c r="D888" i="15" s="1"/>
  <c r="F173" i="13"/>
  <c r="G173" i="13" s="1"/>
  <c r="D889" i="15" s="1"/>
  <c r="F174" i="13"/>
  <c r="G174" i="13" s="1"/>
  <c r="D890" i="15" s="1"/>
  <c r="F175" i="13"/>
  <c r="G175" i="13" s="1"/>
  <c r="D891" i="15" s="1"/>
  <c r="F176" i="13"/>
  <c r="G176" i="13" s="1"/>
  <c r="D892" i="15" s="1"/>
  <c r="F177" i="13"/>
  <c r="G177" i="13" s="1"/>
  <c r="D893" i="15" s="1"/>
  <c r="F178" i="13"/>
  <c r="G178" i="13" s="1"/>
  <c r="D894" i="15" s="1"/>
  <c r="F179" i="13"/>
  <c r="G179" i="13" s="1"/>
  <c r="D895" i="15" s="1"/>
  <c r="F180" i="13"/>
  <c r="G180" i="13" s="1"/>
  <c r="D896" i="15" s="1"/>
  <c r="F181" i="13"/>
  <c r="G181" i="13" s="1"/>
  <c r="D897" i="15" s="1"/>
  <c r="F182" i="13"/>
  <c r="G182" i="13" s="1"/>
  <c r="D898" i="15" s="1"/>
  <c r="F183" i="13"/>
  <c r="G183" i="13" s="1"/>
  <c r="D899" i="15" s="1"/>
  <c r="F184" i="13"/>
  <c r="G184" i="13" s="1"/>
  <c r="D900" i="15" s="1"/>
  <c r="F185" i="13"/>
  <c r="G185" i="13" s="1"/>
  <c r="D901" i="15" s="1"/>
  <c r="F186" i="13"/>
  <c r="G186" i="13" s="1"/>
  <c r="D902" i="15" s="1"/>
  <c r="F187" i="13"/>
  <c r="G187" i="13" s="1"/>
  <c r="D903" i="15" s="1"/>
  <c r="F188" i="13"/>
  <c r="G188" i="13" s="1"/>
  <c r="D904" i="15" s="1"/>
  <c r="F189" i="13"/>
  <c r="G189" i="13" s="1"/>
  <c r="D905" i="15" s="1"/>
  <c r="F190" i="13"/>
  <c r="G190" i="13" s="1"/>
  <c r="D906" i="15" s="1"/>
  <c r="F191" i="13"/>
  <c r="G191" i="13" s="1"/>
  <c r="D907" i="15" s="1"/>
  <c r="F188" i="11"/>
  <c r="G188" i="11" s="1"/>
  <c r="D544" i="15" s="1"/>
  <c r="F162" i="11"/>
  <c r="G162" i="11" s="1"/>
  <c r="D518" i="15" s="1"/>
  <c r="F163" i="11"/>
  <c r="G163" i="11" s="1"/>
  <c r="D519" i="15" s="1"/>
  <c r="F164" i="11"/>
  <c r="G164" i="11" s="1"/>
  <c r="D520" i="15" s="1"/>
  <c r="F165" i="11"/>
  <c r="G165" i="11" s="1"/>
  <c r="D521" i="15" s="1"/>
  <c r="F166" i="11"/>
  <c r="G166" i="11" s="1"/>
  <c r="D522" i="15" s="1"/>
  <c r="F167" i="11"/>
  <c r="G167" i="11" s="1"/>
  <c r="D523" i="15" s="1"/>
  <c r="F168" i="11"/>
  <c r="G168" i="11" s="1"/>
  <c r="D524" i="15" s="1"/>
  <c r="F169" i="11"/>
  <c r="G169" i="11" s="1"/>
  <c r="D525" i="15" s="1"/>
  <c r="F170" i="11"/>
  <c r="G170" i="11" s="1"/>
  <c r="D526" i="15" s="1"/>
  <c r="F171" i="11"/>
  <c r="G171" i="11" s="1"/>
  <c r="D527" i="15" s="1"/>
  <c r="F172" i="11"/>
  <c r="G172" i="11" s="1"/>
  <c r="D528" i="15" s="1"/>
  <c r="F173" i="11"/>
  <c r="G173" i="11" s="1"/>
  <c r="D529" i="15" s="1"/>
  <c r="F174" i="11"/>
  <c r="G174" i="11" s="1"/>
  <c r="D530" i="15" s="1"/>
  <c r="F175" i="11"/>
  <c r="G175" i="11" s="1"/>
  <c r="D531" i="15" s="1"/>
  <c r="F176" i="11"/>
  <c r="G176" i="11" s="1"/>
  <c r="D532" i="15" s="1"/>
  <c r="F177" i="11"/>
  <c r="G177" i="11" s="1"/>
  <c r="D533" i="15" s="1"/>
  <c r="F178" i="11"/>
  <c r="G178" i="11" s="1"/>
  <c r="D534" i="15" s="1"/>
  <c r="F179" i="11"/>
  <c r="G179" i="11" s="1"/>
  <c r="D535" i="15" s="1"/>
  <c r="F180" i="11"/>
  <c r="G180" i="11" s="1"/>
  <c r="D536" i="15" s="1"/>
  <c r="F181" i="11"/>
  <c r="G181" i="11" s="1"/>
  <c r="D537" i="15" s="1"/>
  <c r="F182" i="11"/>
  <c r="G182" i="11" s="1"/>
  <c r="D538" i="15" s="1"/>
  <c r="F183" i="11"/>
  <c r="G183" i="11" s="1"/>
  <c r="D539" i="15" s="1"/>
  <c r="F184" i="11"/>
  <c r="G184" i="11" s="1"/>
  <c r="D540" i="15" s="1"/>
  <c r="F185" i="11"/>
  <c r="G185" i="11" s="1"/>
  <c r="D541" i="15" s="1"/>
  <c r="F186" i="11"/>
  <c r="G186" i="11" s="1"/>
  <c r="D542" i="15" s="1"/>
  <c r="F187" i="11"/>
  <c r="G187" i="11" s="1"/>
  <c r="D543" i="15" s="1"/>
  <c r="F190" i="11"/>
  <c r="G190" i="11" s="1"/>
  <c r="D546" i="15" s="1"/>
  <c r="F189" i="11"/>
  <c r="G189" i="11" s="1"/>
  <c r="D545" i="15" s="1"/>
  <c r="F191" i="11"/>
  <c r="G191" i="11" s="1"/>
  <c r="D547" i="15" s="1"/>
  <c r="F183" i="14"/>
  <c r="G183" i="14" s="1"/>
  <c r="D179" i="15" s="1"/>
  <c r="F184" i="14"/>
  <c r="G184" i="14" s="1"/>
  <c r="D180" i="15" s="1"/>
  <c r="F185" i="14"/>
  <c r="G185" i="14" s="1"/>
  <c r="D181" i="15" s="1"/>
  <c r="F186" i="14"/>
  <c r="G186" i="14" s="1"/>
  <c r="D182" i="15" s="1"/>
  <c r="F187" i="14"/>
  <c r="G187" i="14" s="1"/>
  <c r="D183" i="15" s="1"/>
  <c r="F188" i="14"/>
  <c r="G188" i="14" s="1"/>
  <c r="D184" i="15" s="1"/>
  <c r="F189" i="14"/>
  <c r="G189" i="14" s="1"/>
  <c r="D185" i="15" s="1"/>
  <c r="F190" i="14"/>
  <c r="G190" i="14" s="1"/>
  <c r="D186" i="15" s="1"/>
  <c r="F191" i="14"/>
  <c r="G191" i="14" s="1"/>
  <c r="D187" i="15" s="1"/>
  <c r="F162" i="14"/>
  <c r="G162" i="14" s="1"/>
  <c r="D158" i="15" s="1"/>
  <c r="F163" i="14"/>
  <c r="G163" i="14" s="1"/>
  <c r="D159" i="15" s="1"/>
  <c r="F164" i="14"/>
  <c r="G164" i="14" s="1"/>
  <c r="D160" i="15" s="1"/>
  <c r="F165" i="14"/>
  <c r="G165" i="14" s="1"/>
  <c r="D161" i="15" s="1"/>
  <c r="F166" i="14"/>
  <c r="G166" i="14" s="1"/>
  <c r="D162" i="15" s="1"/>
  <c r="F167" i="14"/>
  <c r="G167" i="14" s="1"/>
  <c r="D163" i="15" s="1"/>
  <c r="F168" i="14"/>
  <c r="G168" i="14" s="1"/>
  <c r="D164" i="15" s="1"/>
  <c r="F169" i="14"/>
  <c r="G169" i="14" s="1"/>
  <c r="D165" i="15" s="1"/>
  <c r="F170" i="14"/>
  <c r="G170" i="14" s="1"/>
  <c r="D166" i="15" s="1"/>
  <c r="F171" i="14"/>
  <c r="G171" i="14" s="1"/>
  <c r="D167" i="15" s="1"/>
  <c r="F172" i="14"/>
  <c r="G172" i="14" s="1"/>
  <c r="D168" i="15" s="1"/>
  <c r="F173" i="14"/>
  <c r="G173" i="14" s="1"/>
  <c r="D169" i="15" s="1"/>
  <c r="F174" i="14"/>
  <c r="G174" i="14" s="1"/>
  <c r="D170" i="15" s="1"/>
  <c r="F175" i="14"/>
  <c r="G175" i="14" s="1"/>
  <c r="D171" i="15" s="1"/>
  <c r="F176" i="14"/>
  <c r="G176" i="14" s="1"/>
  <c r="D172" i="15" s="1"/>
  <c r="F177" i="14"/>
  <c r="G177" i="14" s="1"/>
  <c r="D173" i="15" s="1"/>
  <c r="F178" i="14"/>
  <c r="G178" i="14" s="1"/>
  <c r="D174" i="15" s="1"/>
  <c r="F179" i="14"/>
  <c r="G179" i="14" s="1"/>
  <c r="D175" i="15" s="1"/>
  <c r="F180" i="14"/>
  <c r="G180" i="14" s="1"/>
  <c r="D176" i="15" s="1"/>
  <c r="F181" i="14"/>
  <c r="G181" i="14" s="1"/>
  <c r="D177" i="15" s="1"/>
  <c r="F182" i="14"/>
  <c r="G182" i="14" s="1"/>
  <c r="D178" i="15" s="1"/>
  <c r="F76" i="13"/>
  <c r="G76" i="13" s="1"/>
  <c r="D792" i="15" s="1"/>
  <c r="F101" i="13"/>
  <c r="G101" i="13" s="1"/>
  <c r="D817" i="15" s="1"/>
  <c r="F73" i="13"/>
  <c r="G73" i="13" s="1"/>
  <c r="D789" i="15" s="1"/>
  <c r="F88" i="13"/>
  <c r="G88" i="13" s="1"/>
  <c r="D804" i="15" s="1"/>
  <c r="F89" i="13"/>
  <c r="G89" i="13" s="1"/>
  <c r="D805" i="15" s="1"/>
  <c r="F90" i="13"/>
  <c r="G90" i="13" s="1"/>
  <c r="D806" i="15" s="1"/>
  <c r="F91" i="13"/>
  <c r="G91" i="13" s="1"/>
  <c r="D807" i="15" s="1"/>
  <c r="F92" i="13"/>
  <c r="G92" i="13" s="1"/>
  <c r="D808" i="15" s="1"/>
  <c r="F93" i="13"/>
  <c r="G93" i="13" s="1"/>
  <c r="D809" i="15" s="1"/>
  <c r="F94" i="13"/>
  <c r="G94" i="13" s="1"/>
  <c r="D810" i="15" s="1"/>
  <c r="F95" i="13"/>
  <c r="G95" i="13" s="1"/>
  <c r="D811" i="15" s="1"/>
  <c r="F96" i="13"/>
  <c r="G96" i="13" s="1"/>
  <c r="D812" i="15" s="1"/>
  <c r="F97" i="13"/>
  <c r="G97" i="13" s="1"/>
  <c r="D813" i="15" s="1"/>
  <c r="F98" i="13"/>
  <c r="G98" i="13" s="1"/>
  <c r="D814" i="15" s="1"/>
  <c r="F99" i="13"/>
  <c r="G99" i="13" s="1"/>
  <c r="D815" i="15" s="1"/>
  <c r="F100" i="13"/>
  <c r="G100" i="13" s="1"/>
  <c r="D816" i="15" s="1"/>
  <c r="F74" i="13"/>
  <c r="G74" i="13" s="1"/>
  <c r="D790" i="15" s="1"/>
  <c r="F75" i="13"/>
  <c r="G75" i="13" s="1"/>
  <c r="D791" i="15" s="1"/>
  <c r="F77" i="13"/>
  <c r="G77" i="13" s="1"/>
  <c r="D793" i="15" s="1"/>
  <c r="F78" i="13"/>
  <c r="G78" i="13" s="1"/>
  <c r="D794" i="15" s="1"/>
  <c r="F79" i="13"/>
  <c r="G79" i="13" s="1"/>
  <c r="D795" i="15" s="1"/>
  <c r="F80" i="13"/>
  <c r="G80" i="13" s="1"/>
  <c r="D796" i="15" s="1"/>
  <c r="F81" i="13"/>
  <c r="G81" i="13" s="1"/>
  <c r="D797" i="15" s="1"/>
  <c r="F82" i="13"/>
  <c r="G82" i="13" s="1"/>
  <c r="D798" i="15" s="1"/>
  <c r="F83" i="13"/>
  <c r="G83" i="13" s="1"/>
  <c r="D799" i="15" s="1"/>
  <c r="F84" i="13"/>
  <c r="G84" i="13" s="1"/>
  <c r="D800" i="15" s="1"/>
  <c r="F85" i="13"/>
  <c r="G85" i="13" s="1"/>
  <c r="D801" i="15" s="1"/>
  <c r="F86" i="13"/>
  <c r="G86" i="13" s="1"/>
  <c r="D802" i="15" s="1"/>
  <c r="G72" i="12"/>
  <c r="F73" i="12"/>
  <c r="G73" i="12" s="1"/>
  <c r="D609" i="15" s="1"/>
  <c r="F74" i="12"/>
  <c r="G74" i="12" s="1"/>
  <c r="D610" i="15" s="1"/>
  <c r="F75" i="12"/>
  <c r="G75" i="12" s="1"/>
  <c r="D611" i="15" s="1"/>
  <c r="F76" i="12"/>
  <c r="G76" i="12" s="1"/>
  <c r="D612" i="15" s="1"/>
  <c r="F77" i="12"/>
  <c r="G77" i="12" s="1"/>
  <c r="D613" i="15" s="1"/>
  <c r="F78" i="12"/>
  <c r="G78" i="12" s="1"/>
  <c r="D614" i="15" s="1"/>
  <c r="F79" i="12"/>
  <c r="G79" i="12" s="1"/>
  <c r="D615" i="15" s="1"/>
  <c r="F80" i="12"/>
  <c r="G80" i="12" s="1"/>
  <c r="D616" i="15" s="1"/>
  <c r="F81" i="12"/>
  <c r="G81" i="12" s="1"/>
  <c r="D617" i="15" s="1"/>
  <c r="F82" i="12"/>
  <c r="G82" i="12" s="1"/>
  <c r="D618" i="15" s="1"/>
  <c r="F83" i="12"/>
  <c r="G83" i="12" s="1"/>
  <c r="D619" i="15" s="1"/>
  <c r="F84" i="12"/>
  <c r="G84" i="12" s="1"/>
  <c r="D620" i="15" s="1"/>
  <c r="F85" i="12"/>
  <c r="G85" i="12" s="1"/>
  <c r="D621" i="15" s="1"/>
  <c r="F86" i="12"/>
  <c r="G86" i="12" s="1"/>
  <c r="D622" i="15" s="1"/>
  <c r="G87" i="12"/>
  <c r="F88" i="12"/>
  <c r="G88" i="12" s="1"/>
  <c r="D624" i="15" s="1"/>
  <c r="F89" i="12"/>
  <c r="G89" i="12" s="1"/>
  <c r="D625" i="15" s="1"/>
  <c r="F90" i="12"/>
  <c r="G90" i="12" s="1"/>
  <c r="D626" i="15" s="1"/>
  <c r="F91" i="12"/>
  <c r="G91" i="12" s="1"/>
  <c r="D627" i="15" s="1"/>
  <c r="F92" i="12"/>
  <c r="G92" i="12" s="1"/>
  <c r="D628" i="15" s="1"/>
  <c r="F93" i="12"/>
  <c r="G93" i="12" s="1"/>
  <c r="D629" i="15" s="1"/>
  <c r="F94" i="12"/>
  <c r="G94" i="12" s="1"/>
  <c r="D630" i="15" s="1"/>
  <c r="F95" i="12"/>
  <c r="G95" i="12" s="1"/>
  <c r="D631" i="15" s="1"/>
  <c r="F96" i="12"/>
  <c r="G96" i="12" s="1"/>
  <c r="D632" i="15" s="1"/>
  <c r="F97" i="12"/>
  <c r="G97" i="12" s="1"/>
  <c r="D633" i="15" s="1"/>
  <c r="F98" i="12"/>
  <c r="G98" i="12" s="1"/>
  <c r="D634" i="15" s="1"/>
  <c r="F99" i="12"/>
  <c r="G99" i="12" s="1"/>
  <c r="D635" i="15" s="1"/>
  <c r="F100" i="12"/>
  <c r="G100" i="12" s="1"/>
  <c r="D636" i="15" s="1"/>
  <c r="F101" i="12"/>
  <c r="G101" i="12" s="1"/>
  <c r="D637" i="15" s="1"/>
  <c r="F98" i="11"/>
  <c r="G98" i="11" s="1"/>
  <c r="D454" i="15" s="1"/>
  <c r="F88" i="11"/>
  <c r="G88" i="11" s="1"/>
  <c r="D444" i="15" s="1"/>
  <c r="F89" i="11"/>
  <c r="G89" i="11" s="1"/>
  <c r="D445" i="15" s="1"/>
  <c r="F91" i="11"/>
  <c r="G91" i="11" s="1"/>
  <c r="D447" i="15" s="1"/>
  <c r="F93" i="11"/>
  <c r="G93" i="11" s="1"/>
  <c r="D449" i="15" s="1"/>
  <c r="F94" i="11"/>
  <c r="G94" i="11" s="1"/>
  <c r="D450" i="15" s="1"/>
  <c r="F96" i="11"/>
  <c r="G96" i="11" s="1"/>
  <c r="D452" i="15" s="1"/>
  <c r="F97" i="11"/>
  <c r="G97" i="11" s="1"/>
  <c r="D453" i="15" s="1"/>
  <c r="F101" i="11"/>
  <c r="G101" i="11" s="1"/>
  <c r="D457" i="15" s="1"/>
  <c r="F100" i="11"/>
  <c r="G100" i="11" s="1"/>
  <c r="D456" i="15" s="1"/>
  <c r="F99" i="11"/>
  <c r="G99" i="11" s="1"/>
  <c r="D455" i="15" s="1"/>
  <c r="F73" i="11"/>
  <c r="G73" i="11" s="1"/>
  <c r="D429" i="15" s="1"/>
  <c r="F74" i="11"/>
  <c r="G74" i="11" s="1"/>
  <c r="D430" i="15" s="1"/>
  <c r="F75" i="11"/>
  <c r="G75" i="11" s="1"/>
  <c r="D431" i="15" s="1"/>
  <c r="F76" i="11"/>
  <c r="G76" i="11" s="1"/>
  <c r="D432" i="15" s="1"/>
  <c r="F77" i="11"/>
  <c r="G77" i="11" s="1"/>
  <c r="D433" i="15" s="1"/>
  <c r="F78" i="11"/>
  <c r="G78" i="11" s="1"/>
  <c r="D434" i="15" s="1"/>
  <c r="F79" i="11"/>
  <c r="G79" i="11" s="1"/>
  <c r="D435" i="15" s="1"/>
  <c r="F80" i="11"/>
  <c r="G80" i="11" s="1"/>
  <c r="D436" i="15" s="1"/>
  <c r="F81" i="11"/>
  <c r="G81" i="11" s="1"/>
  <c r="D437" i="15" s="1"/>
  <c r="F82" i="11"/>
  <c r="G82" i="11" s="1"/>
  <c r="D438" i="15" s="1"/>
  <c r="F83" i="11"/>
  <c r="G83" i="11" s="1"/>
  <c r="D439" i="15" s="1"/>
  <c r="F84" i="11"/>
  <c r="G84" i="11" s="1"/>
  <c r="D440" i="15" s="1"/>
  <c r="F85" i="11"/>
  <c r="G85" i="11" s="1"/>
  <c r="D441" i="15" s="1"/>
  <c r="F86" i="11"/>
  <c r="G86" i="11" s="1"/>
  <c r="D442" i="15" s="1"/>
  <c r="F90" i="11"/>
  <c r="G90" i="11" s="1"/>
  <c r="D446" i="15" s="1"/>
  <c r="F92" i="11"/>
  <c r="G92" i="11" s="1"/>
  <c r="D448" i="15" s="1"/>
  <c r="F95" i="11"/>
  <c r="G95" i="11" s="1"/>
  <c r="D451" i="15" s="1"/>
  <c r="F74" i="10"/>
  <c r="G74" i="10" s="1"/>
  <c r="D250" i="15" s="1"/>
  <c r="F81" i="10"/>
  <c r="G81" i="10" s="1"/>
  <c r="D257" i="15" s="1"/>
  <c r="F84" i="10"/>
  <c r="G84" i="10" s="1"/>
  <c r="D260" i="15" s="1"/>
  <c r="F93" i="10"/>
  <c r="G93" i="10" s="1"/>
  <c r="D269" i="15" s="1"/>
  <c r="F96" i="10"/>
  <c r="G96" i="10" s="1"/>
  <c r="D272" i="15" s="1"/>
  <c r="F99" i="10"/>
  <c r="G99" i="10" s="1"/>
  <c r="D275" i="15" s="1"/>
  <c r="F101" i="10"/>
  <c r="G101" i="10" s="1"/>
  <c r="D277" i="15" s="1"/>
  <c r="F77" i="10"/>
  <c r="G77" i="10" s="1"/>
  <c r="D253" i="15" s="1"/>
  <c r="F80" i="10"/>
  <c r="G80" i="10" s="1"/>
  <c r="D256" i="15" s="1"/>
  <c r="F83" i="10"/>
  <c r="G83" i="10" s="1"/>
  <c r="D259" i="15" s="1"/>
  <c r="F86" i="10"/>
  <c r="G86" i="10" s="1"/>
  <c r="D262" i="15" s="1"/>
  <c r="F89" i="10"/>
  <c r="G89" i="10" s="1"/>
  <c r="D265" i="15" s="1"/>
  <c r="F92" i="10"/>
  <c r="G92" i="10" s="1"/>
  <c r="D268" i="15" s="1"/>
  <c r="F95" i="10"/>
  <c r="G95" i="10" s="1"/>
  <c r="D271" i="15" s="1"/>
  <c r="F98" i="10"/>
  <c r="G98" i="10" s="1"/>
  <c r="D274" i="15" s="1"/>
  <c r="F73" i="10"/>
  <c r="G73" i="10" s="1"/>
  <c r="D249" i="15" s="1"/>
  <c r="F76" i="10"/>
  <c r="G76" i="10" s="1"/>
  <c r="D252" i="15" s="1"/>
  <c r="F79" i="10"/>
  <c r="G79" i="10" s="1"/>
  <c r="D255" i="15" s="1"/>
  <c r="F82" i="10"/>
  <c r="G82" i="10" s="1"/>
  <c r="D258" i="15" s="1"/>
  <c r="F88" i="10"/>
  <c r="G88" i="10" s="1"/>
  <c r="D264" i="15" s="1"/>
  <c r="F91" i="10"/>
  <c r="G91" i="10" s="1"/>
  <c r="D267" i="15" s="1"/>
  <c r="F94" i="10"/>
  <c r="G94" i="10" s="1"/>
  <c r="D270" i="15" s="1"/>
  <c r="F75" i="10"/>
  <c r="G75" i="10" s="1"/>
  <c r="D251" i="15" s="1"/>
  <c r="F78" i="10"/>
  <c r="G78" i="10" s="1"/>
  <c r="D254" i="15" s="1"/>
  <c r="F85" i="10"/>
  <c r="G85" i="10" s="1"/>
  <c r="D261" i="15" s="1"/>
  <c r="F90" i="10"/>
  <c r="G90" i="10" s="1"/>
  <c r="D266" i="15" s="1"/>
  <c r="F97" i="10"/>
  <c r="G97" i="10" s="1"/>
  <c r="D273" i="15" s="1"/>
  <c r="F100" i="10"/>
  <c r="G100" i="10" s="1"/>
  <c r="D276" i="15" s="1"/>
  <c r="F76" i="14"/>
  <c r="G76" i="14" s="1"/>
  <c r="D72" i="15" s="1"/>
  <c r="F80" i="14"/>
  <c r="G80" i="14" s="1"/>
  <c r="D76" i="15" s="1"/>
  <c r="F84" i="14"/>
  <c r="G84" i="14" s="1"/>
  <c r="D80" i="15" s="1"/>
  <c r="F88" i="14"/>
  <c r="G88" i="14" s="1"/>
  <c r="D84" i="15" s="1"/>
  <c r="F92" i="14"/>
  <c r="G92" i="14" s="1"/>
  <c r="D88" i="15" s="1"/>
  <c r="F96" i="14"/>
  <c r="G96" i="14" s="1"/>
  <c r="D92" i="15" s="1"/>
  <c r="F100" i="14"/>
  <c r="G100" i="14" s="1"/>
  <c r="D96" i="15" s="1"/>
  <c r="F74" i="14"/>
  <c r="G74" i="14" s="1"/>
  <c r="D70" i="15" s="1"/>
  <c r="F77" i="14"/>
  <c r="G77" i="14" s="1"/>
  <c r="D73" i="15" s="1"/>
  <c r="F81" i="14"/>
  <c r="G81" i="14" s="1"/>
  <c r="D77" i="15" s="1"/>
  <c r="F85" i="14"/>
  <c r="G85" i="14" s="1"/>
  <c r="D81" i="15" s="1"/>
  <c r="F89" i="14"/>
  <c r="G89" i="14" s="1"/>
  <c r="D85" i="15" s="1"/>
  <c r="F93" i="14"/>
  <c r="G93" i="14" s="1"/>
  <c r="D89" i="15" s="1"/>
  <c r="F97" i="14"/>
  <c r="G97" i="14" s="1"/>
  <c r="D93" i="15" s="1"/>
  <c r="F101" i="14"/>
  <c r="G101" i="14" s="1"/>
  <c r="D97" i="15" s="1"/>
  <c r="F75" i="14"/>
  <c r="G75" i="14" s="1"/>
  <c r="D71" i="15" s="1"/>
  <c r="F78" i="14"/>
  <c r="G78" i="14" s="1"/>
  <c r="D74" i="15" s="1"/>
  <c r="F82" i="14"/>
  <c r="G82" i="14" s="1"/>
  <c r="D78" i="15" s="1"/>
  <c r="F86" i="14"/>
  <c r="G86" i="14" s="1"/>
  <c r="D82" i="15" s="1"/>
  <c r="F90" i="14"/>
  <c r="G90" i="14" s="1"/>
  <c r="D86" i="15" s="1"/>
  <c r="F94" i="14"/>
  <c r="G94" i="14" s="1"/>
  <c r="D90" i="15" s="1"/>
  <c r="F98" i="14"/>
  <c r="G98" i="14" s="1"/>
  <c r="D94" i="15" s="1"/>
  <c r="G72" i="14"/>
  <c r="F79" i="14"/>
  <c r="G79" i="14" s="1"/>
  <c r="D75" i="15" s="1"/>
  <c r="F83" i="14"/>
  <c r="G83" i="14" s="1"/>
  <c r="D79" i="15" s="1"/>
  <c r="G87" i="14"/>
  <c r="F91" i="14"/>
  <c r="G91" i="14" s="1"/>
  <c r="D87" i="15" s="1"/>
  <c r="F95" i="14"/>
  <c r="G95" i="14" s="1"/>
  <c r="D91" i="15" s="1"/>
  <c r="F99" i="14"/>
  <c r="G99" i="14" s="1"/>
  <c r="D95" i="15" s="1"/>
  <c r="F73" i="14"/>
  <c r="G73" i="14" s="1"/>
  <c r="D69" i="15" s="1"/>
  <c r="B119" i="9"/>
  <c r="B124" i="9"/>
  <c r="B115" i="9"/>
  <c r="B120" i="9"/>
  <c r="B125" i="9"/>
  <c r="B116" i="9"/>
  <c r="B121" i="9"/>
  <c r="B127" i="9"/>
  <c r="B117" i="9"/>
  <c r="E124" i="15"/>
  <c r="K124" i="15" s="1"/>
  <c r="E484" i="15"/>
  <c r="K484" i="15" s="1"/>
  <c r="E862" i="15"/>
  <c r="K862" i="15" s="1"/>
  <c r="E502" i="15"/>
  <c r="K502" i="15" s="1"/>
  <c r="E34" i="15"/>
  <c r="K34" i="15" s="1"/>
  <c r="E574" i="15"/>
  <c r="K574" i="15" s="1"/>
  <c r="E876" i="15"/>
  <c r="K876" i="15" s="1"/>
  <c r="E696" i="15"/>
  <c r="K696" i="15" s="1"/>
  <c r="E516" i="15"/>
  <c r="E336" i="15"/>
  <c r="K336" i="15" s="1"/>
  <c r="H22" i="14"/>
  <c r="L18" i="15" s="1"/>
  <c r="H22" i="13"/>
  <c r="L738" i="15" s="1"/>
  <c r="H22" i="10"/>
  <c r="L198" i="15" s="1"/>
  <c r="H22" i="12"/>
  <c r="L558" i="15" s="1"/>
  <c r="H22" i="11"/>
  <c r="L378" i="15" s="1"/>
  <c r="H21" i="14"/>
  <c r="L17" i="15" s="1"/>
  <c r="H21" i="13"/>
  <c r="L737" i="15" s="1"/>
  <c r="H21" i="12"/>
  <c r="L557" i="15" s="1"/>
  <c r="H21" i="11"/>
  <c r="L377" i="15" s="1"/>
  <c r="E561" i="15"/>
  <c r="K561" i="15" s="1"/>
  <c r="H23" i="14"/>
  <c r="L19" i="15" s="1"/>
  <c r="H23" i="13"/>
  <c r="L739" i="15" s="1"/>
  <c r="H23" i="12"/>
  <c r="L559" i="15" s="1"/>
  <c r="H23" i="11"/>
  <c r="L379" i="15" s="1"/>
  <c r="H19" i="14"/>
  <c r="L15" i="15" s="1"/>
  <c r="H19" i="13"/>
  <c r="L735" i="15" s="1"/>
  <c r="H19" i="12"/>
  <c r="L555" i="15" s="1"/>
  <c r="H19" i="11"/>
  <c r="L375" i="15" s="1"/>
  <c r="H15" i="14"/>
  <c r="L11" i="15" s="1"/>
  <c r="H15" i="13"/>
  <c r="L731" i="15" s="1"/>
  <c r="H15" i="11"/>
  <c r="L371" i="15" s="1"/>
  <c r="H15" i="12"/>
  <c r="L551" i="15" s="1"/>
  <c r="H27" i="14"/>
  <c r="L23" i="15" s="1"/>
  <c r="H27" i="13"/>
  <c r="L743" i="15" s="1"/>
  <c r="H27" i="12"/>
  <c r="L563" i="15" s="1"/>
  <c r="H27" i="11"/>
  <c r="L383" i="15" s="1"/>
  <c r="H31" i="14"/>
  <c r="L27" i="15" s="1"/>
  <c r="H31" i="13"/>
  <c r="L747" i="15" s="1"/>
  <c r="H31" i="12"/>
  <c r="L567" i="15" s="1"/>
  <c r="H31" i="11"/>
  <c r="L387" i="15" s="1"/>
  <c r="H35" i="14"/>
  <c r="L31" i="15" s="1"/>
  <c r="H35" i="13"/>
  <c r="L751" i="15" s="1"/>
  <c r="H35" i="12"/>
  <c r="L571" i="15" s="1"/>
  <c r="H35" i="11"/>
  <c r="L391" i="15" s="1"/>
  <c r="H39" i="14"/>
  <c r="L35" i="15" s="1"/>
  <c r="H39" i="13"/>
  <c r="L755" i="15" s="1"/>
  <c r="H39" i="11"/>
  <c r="L395" i="15" s="1"/>
  <c r="H39" i="12"/>
  <c r="L575" i="15" s="1"/>
  <c r="E751" i="15"/>
  <c r="K751" i="15" s="1"/>
  <c r="H42" i="14"/>
  <c r="L38" i="15" s="1"/>
  <c r="H42" i="13"/>
  <c r="L758" i="15" s="1"/>
  <c r="H42" i="11"/>
  <c r="L398" i="15" s="1"/>
  <c r="H42" i="12"/>
  <c r="L578" i="15" s="1"/>
  <c r="H42" i="10"/>
  <c r="L218" i="15" s="1"/>
  <c r="H46" i="14"/>
  <c r="L42" i="15" s="1"/>
  <c r="H46" i="13"/>
  <c r="L762" i="15" s="1"/>
  <c r="H46" i="11"/>
  <c r="L402" i="15" s="1"/>
  <c r="H46" i="10"/>
  <c r="L222" i="15" s="1"/>
  <c r="H46" i="12"/>
  <c r="L582" i="15" s="1"/>
  <c r="H50" i="14"/>
  <c r="L46" i="15" s="1"/>
  <c r="H50" i="13"/>
  <c r="L766" i="15" s="1"/>
  <c r="H50" i="11"/>
  <c r="L406" i="15" s="1"/>
  <c r="H50" i="12"/>
  <c r="L586" i="15" s="1"/>
  <c r="H50" i="10"/>
  <c r="L226" i="15" s="1"/>
  <c r="H54" i="14"/>
  <c r="L50" i="15" s="1"/>
  <c r="H54" i="13"/>
  <c r="L770" i="15" s="1"/>
  <c r="H54" i="11"/>
  <c r="L410" i="15" s="1"/>
  <c r="H54" i="12"/>
  <c r="L590" i="15" s="1"/>
  <c r="H71" i="14"/>
  <c r="L67" i="15" s="1"/>
  <c r="H71" i="12"/>
  <c r="L607" i="15" s="1"/>
  <c r="H71" i="13"/>
  <c r="L787" i="15" s="1"/>
  <c r="H71" i="11"/>
  <c r="L427" i="15" s="1"/>
  <c r="H71" i="10"/>
  <c r="L247" i="15" s="1"/>
  <c r="H67" i="14"/>
  <c r="L63" i="15" s="1"/>
  <c r="H67" i="12"/>
  <c r="L603" i="15" s="1"/>
  <c r="H67" i="13"/>
  <c r="L783" i="15" s="1"/>
  <c r="H67" i="10"/>
  <c r="L243" i="15" s="1"/>
  <c r="H67" i="11"/>
  <c r="L423" i="15" s="1"/>
  <c r="H63" i="14"/>
  <c r="L59" i="15" s="1"/>
  <c r="H63" i="12"/>
  <c r="L599" i="15" s="1"/>
  <c r="H63" i="13"/>
  <c r="L779" i="15" s="1"/>
  <c r="H63" i="11"/>
  <c r="L419" i="15" s="1"/>
  <c r="H63" i="10"/>
  <c r="L239" i="15" s="1"/>
  <c r="H59" i="14"/>
  <c r="L55" i="15" s="1"/>
  <c r="H59" i="12"/>
  <c r="L595" i="15" s="1"/>
  <c r="H59" i="13"/>
  <c r="L775" i="15" s="1"/>
  <c r="H59" i="11"/>
  <c r="L415" i="15" s="1"/>
  <c r="F13" i="14"/>
  <c r="G13" i="14" s="1"/>
  <c r="D9" i="15" s="1"/>
  <c r="F13" i="12"/>
  <c r="G13" i="12" s="1"/>
  <c r="D549" i="15" s="1"/>
  <c r="E98" i="15"/>
  <c r="K98" i="15" s="1"/>
  <c r="E818" i="15"/>
  <c r="K818" i="15" s="1"/>
  <c r="E638" i="15"/>
  <c r="K638" i="15" s="1"/>
  <c r="E458" i="15"/>
  <c r="K458" i="15" s="1"/>
  <c r="B114" i="9"/>
  <c r="B118" i="9"/>
  <c r="B122" i="9"/>
  <c r="B126" i="9"/>
  <c r="B131" i="9"/>
  <c r="B135" i="9"/>
  <c r="B144" i="9"/>
  <c r="B148" i="9"/>
  <c r="B152" i="9"/>
  <c r="B156" i="9"/>
  <c r="B161" i="9"/>
  <c r="B165" i="9"/>
  <c r="B169" i="9"/>
  <c r="F128" i="9"/>
  <c r="F143" i="9" s="1"/>
  <c r="F158" i="9" s="1"/>
  <c r="H128" i="14"/>
  <c r="L124" i="15" s="1"/>
  <c r="H128" i="12"/>
  <c r="L664" i="15" s="1"/>
  <c r="H128" i="13"/>
  <c r="L844" i="15" s="1"/>
  <c r="H128" i="11"/>
  <c r="L484" i="15" s="1"/>
  <c r="H128" i="10"/>
  <c r="L304" i="15" s="1"/>
  <c r="H124" i="14"/>
  <c r="L120" i="15" s="1"/>
  <c r="H124" i="12"/>
  <c r="L660" i="15" s="1"/>
  <c r="H124" i="11"/>
  <c r="L480" i="15" s="1"/>
  <c r="H124" i="13"/>
  <c r="L840" i="15" s="1"/>
  <c r="H124" i="10"/>
  <c r="L300" i="15" s="1"/>
  <c r="H120" i="14"/>
  <c r="L116" i="15" s="1"/>
  <c r="H120" i="13"/>
  <c r="L836" i="15" s="1"/>
  <c r="H120" i="11"/>
  <c r="L476" i="15" s="1"/>
  <c r="H120" i="12"/>
  <c r="L656" i="15" s="1"/>
  <c r="H115" i="14"/>
  <c r="L111" i="15" s="1"/>
  <c r="H115" i="12"/>
  <c r="L651" i="15" s="1"/>
  <c r="H115" i="13"/>
  <c r="L831" i="15" s="1"/>
  <c r="H115" i="10"/>
  <c r="L291" i="15" s="1"/>
  <c r="H115" i="11"/>
  <c r="L471" i="15" s="1"/>
  <c r="H111" i="14"/>
  <c r="L107" i="15" s="1"/>
  <c r="H111" i="12"/>
  <c r="L647" i="15" s="1"/>
  <c r="H111" i="13"/>
  <c r="L827" i="15" s="1"/>
  <c r="H111" i="10"/>
  <c r="L287" i="15" s="1"/>
  <c r="H111" i="11"/>
  <c r="L467" i="15" s="1"/>
  <c r="H107" i="14"/>
  <c r="L103" i="15" s="1"/>
  <c r="H107" i="12"/>
  <c r="L643" i="15" s="1"/>
  <c r="H107" i="13"/>
  <c r="L823" i="15" s="1"/>
  <c r="H107" i="10"/>
  <c r="L283" i="15" s="1"/>
  <c r="H107" i="11"/>
  <c r="L463" i="15" s="1"/>
  <c r="H103" i="14"/>
  <c r="L99" i="15" s="1"/>
  <c r="H103" i="13"/>
  <c r="L819" i="15" s="1"/>
  <c r="H103" i="12"/>
  <c r="L639" i="15" s="1"/>
  <c r="H103" i="10"/>
  <c r="L279" i="15" s="1"/>
  <c r="H103" i="11"/>
  <c r="L459" i="15" s="1"/>
  <c r="H157" i="14"/>
  <c r="L153" i="15" s="1"/>
  <c r="H157" i="13"/>
  <c r="L873" i="15" s="1"/>
  <c r="H157" i="12"/>
  <c r="L693" i="15" s="1"/>
  <c r="H157" i="11"/>
  <c r="L513" i="15" s="1"/>
  <c r="H153" i="14"/>
  <c r="L149" i="15" s="1"/>
  <c r="H153" i="13"/>
  <c r="L869" i="15" s="1"/>
  <c r="H153" i="12"/>
  <c r="L689" i="15" s="1"/>
  <c r="H153" i="11"/>
  <c r="L509" i="15" s="1"/>
  <c r="H153" i="10"/>
  <c r="L329" i="15" s="1"/>
  <c r="H149" i="14"/>
  <c r="L145" i="15" s="1"/>
  <c r="H149" i="13"/>
  <c r="L865" i="15" s="1"/>
  <c r="H149" i="12"/>
  <c r="L685" i="15" s="1"/>
  <c r="H149" i="11"/>
  <c r="L505" i="15" s="1"/>
  <c r="H149" i="10"/>
  <c r="L325" i="15" s="1"/>
  <c r="H144" i="14"/>
  <c r="L140" i="15" s="1"/>
  <c r="H144" i="12"/>
  <c r="L680" i="15" s="1"/>
  <c r="H144" i="13"/>
  <c r="L860" i="15" s="1"/>
  <c r="H144" i="11"/>
  <c r="L500" i="15" s="1"/>
  <c r="H144" i="10"/>
  <c r="L320" i="15" s="1"/>
  <c r="H140" i="14"/>
  <c r="L136" i="15" s="1"/>
  <c r="H140" i="12"/>
  <c r="L676" i="15" s="1"/>
  <c r="H140" i="13"/>
  <c r="L856" i="15" s="1"/>
  <c r="H140" i="11"/>
  <c r="L496" i="15" s="1"/>
  <c r="H140" i="10"/>
  <c r="L316" i="15" s="1"/>
  <c r="H136" i="14"/>
  <c r="L132" i="15" s="1"/>
  <c r="H136" i="12"/>
  <c r="L672" i="15" s="1"/>
  <c r="H136" i="13"/>
  <c r="L852" i="15" s="1"/>
  <c r="H136" i="11"/>
  <c r="L492" i="15" s="1"/>
  <c r="H161" i="14"/>
  <c r="L157" i="15" s="1"/>
  <c r="H161" i="13"/>
  <c r="L877" i="15" s="1"/>
  <c r="H161" i="12"/>
  <c r="L697" i="15" s="1"/>
  <c r="H161" i="10"/>
  <c r="L337" i="15" s="1"/>
  <c r="H161" i="11"/>
  <c r="L517" i="15" s="1"/>
  <c r="E201" i="15"/>
  <c r="K201" i="15" s="1"/>
  <c r="E278" i="15"/>
  <c r="K278" i="15" s="1"/>
  <c r="H41" i="10"/>
  <c r="L217" i="15" s="1"/>
  <c r="H31" i="10"/>
  <c r="L207" i="15" s="1"/>
  <c r="H157" i="10"/>
  <c r="L333" i="15" s="1"/>
  <c r="H136" i="10"/>
  <c r="L312" i="15" s="1"/>
  <c r="H29" i="11"/>
  <c r="L385" i="15" s="1"/>
  <c r="H18" i="14"/>
  <c r="L14" i="15" s="1"/>
  <c r="H18" i="13"/>
  <c r="L734" i="15" s="1"/>
  <c r="H18" i="10"/>
  <c r="L194" i="15" s="1"/>
  <c r="H18" i="12"/>
  <c r="L554" i="15" s="1"/>
  <c r="H28" i="14"/>
  <c r="L24" i="15" s="1"/>
  <c r="H28" i="12"/>
  <c r="L564" i="15" s="1"/>
  <c r="H28" i="11"/>
  <c r="L384" i="15" s="1"/>
  <c r="H28" i="13"/>
  <c r="L744" i="15" s="1"/>
  <c r="H32" i="14"/>
  <c r="L28" i="15" s="1"/>
  <c r="H32" i="12"/>
  <c r="L568" i="15" s="1"/>
  <c r="H32" i="13"/>
  <c r="L748" i="15" s="1"/>
  <c r="H32" i="11"/>
  <c r="L388" i="15" s="1"/>
  <c r="H36" i="14"/>
  <c r="L32" i="15" s="1"/>
  <c r="H36" i="13"/>
  <c r="L752" i="15" s="1"/>
  <c r="H36" i="12"/>
  <c r="L572" i="15" s="1"/>
  <c r="H40" i="14"/>
  <c r="L36" i="15" s="1"/>
  <c r="H40" i="13"/>
  <c r="L756" i="15" s="1"/>
  <c r="H40" i="12"/>
  <c r="L576" i="15" s="1"/>
  <c r="H40" i="11"/>
  <c r="L396" i="15" s="1"/>
  <c r="H43" i="14"/>
  <c r="L39" i="15" s="1"/>
  <c r="H43" i="12"/>
  <c r="L579" i="15" s="1"/>
  <c r="H43" i="13"/>
  <c r="L759" i="15" s="1"/>
  <c r="H47" i="14"/>
  <c r="L43" i="15" s="1"/>
  <c r="H47" i="12"/>
  <c r="L583" i="15" s="1"/>
  <c r="H47" i="13"/>
  <c r="L763" i="15" s="1"/>
  <c r="H47" i="11"/>
  <c r="L403" i="15" s="1"/>
  <c r="H51" i="14"/>
  <c r="L47" i="15" s="1"/>
  <c r="H51" i="12"/>
  <c r="L587" i="15" s="1"/>
  <c r="H51" i="13"/>
  <c r="L767" i="15" s="1"/>
  <c r="H51" i="11"/>
  <c r="L407" i="15" s="1"/>
  <c r="H55" i="14"/>
  <c r="L51" i="15" s="1"/>
  <c r="H55" i="12"/>
  <c r="L591" i="15" s="1"/>
  <c r="H55" i="13"/>
  <c r="L771" i="15" s="1"/>
  <c r="H55" i="11"/>
  <c r="L411" i="15" s="1"/>
  <c r="H55" i="10"/>
  <c r="L231" i="15" s="1"/>
  <c r="H70" i="14"/>
  <c r="L66" i="15" s="1"/>
  <c r="H70" i="13"/>
  <c r="L786" i="15" s="1"/>
  <c r="H70" i="11"/>
  <c r="L426" i="15" s="1"/>
  <c r="H70" i="12"/>
  <c r="L606" i="15" s="1"/>
  <c r="H66" i="14"/>
  <c r="L62" i="15" s="1"/>
  <c r="H66" i="13"/>
  <c r="L782" i="15" s="1"/>
  <c r="H66" i="11"/>
  <c r="L422" i="15" s="1"/>
  <c r="H66" i="12"/>
  <c r="L602" i="15" s="1"/>
  <c r="H66" i="10"/>
  <c r="L242" i="15" s="1"/>
  <c r="H62" i="14"/>
  <c r="L58" i="15" s="1"/>
  <c r="H62" i="13"/>
  <c r="L778" i="15" s="1"/>
  <c r="H62" i="11"/>
  <c r="L418" i="15" s="1"/>
  <c r="H62" i="10"/>
  <c r="L238" i="15" s="1"/>
  <c r="H62" i="12"/>
  <c r="L598" i="15" s="1"/>
  <c r="H58" i="14"/>
  <c r="L54" i="15" s="1"/>
  <c r="H58" i="13"/>
  <c r="L774" i="15" s="1"/>
  <c r="H58" i="11"/>
  <c r="L414" i="15" s="1"/>
  <c r="H58" i="12"/>
  <c r="L594" i="15" s="1"/>
  <c r="H58" i="10"/>
  <c r="L234" i="15" s="1"/>
  <c r="F16" i="14"/>
  <c r="G16" i="14" s="1"/>
  <c r="D12" i="15" s="1"/>
  <c r="F16" i="11"/>
  <c r="G16" i="11" s="1"/>
  <c r="D372" i="15" s="1"/>
  <c r="F20" i="14"/>
  <c r="G20" i="14" s="1"/>
  <c r="D16" i="15" s="1"/>
  <c r="F20" i="11"/>
  <c r="G20" i="11" s="1"/>
  <c r="D376" i="15" s="1"/>
  <c r="F24" i="14"/>
  <c r="G24" i="14" s="1"/>
  <c r="D20" i="15" s="1"/>
  <c r="F24" i="11"/>
  <c r="G24" i="11" s="1"/>
  <c r="D380" i="15" s="1"/>
  <c r="F32" i="14"/>
  <c r="G32" i="14" s="1"/>
  <c r="D28" i="15" s="1"/>
  <c r="F32" i="11"/>
  <c r="G32" i="11" s="1"/>
  <c r="D388" i="15" s="1"/>
  <c r="F32" i="13"/>
  <c r="G32" i="13" s="1"/>
  <c r="D748" i="15" s="1"/>
  <c r="F36" i="14"/>
  <c r="G36" i="14" s="1"/>
  <c r="D32" i="15" s="1"/>
  <c r="F36" i="12"/>
  <c r="G36" i="12" s="1"/>
  <c r="D572" i="15" s="1"/>
  <c r="F36" i="11"/>
  <c r="G36" i="11" s="1"/>
  <c r="D392" i="15" s="1"/>
  <c r="F40" i="14"/>
  <c r="G40" i="14" s="1"/>
  <c r="D36" i="15" s="1"/>
  <c r="F40" i="11"/>
  <c r="G40" i="11" s="1"/>
  <c r="D396" i="15" s="1"/>
  <c r="E23" i="15"/>
  <c r="K23" i="15" s="1"/>
  <c r="E743" i="15"/>
  <c r="K743" i="15" s="1"/>
  <c r="E563" i="15"/>
  <c r="K563" i="15" s="1"/>
  <c r="E383" i="15"/>
  <c r="K383" i="15" s="1"/>
  <c r="E113" i="15"/>
  <c r="K113" i="15" s="1"/>
  <c r="E833" i="15"/>
  <c r="K833" i="15" s="1"/>
  <c r="E653" i="15"/>
  <c r="K653" i="15" s="1"/>
  <c r="E473" i="15"/>
  <c r="K473" i="15" s="1"/>
  <c r="E108" i="15"/>
  <c r="K108" i="15" s="1"/>
  <c r="E648" i="15"/>
  <c r="K648" i="15" s="1"/>
  <c r="B132" i="9"/>
  <c r="B136" i="9"/>
  <c r="B140" i="9"/>
  <c r="B145" i="9"/>
  <c r="B149" i="9"/>
  <c r="B153" i="9"/>
  <c r="B162" i="9"/>
  <c r="B166" i="9"/>
  <c r="B170" i="9"/>
  <c r="H131" i="14"/>
  <c r="L127" i="15" s="1"/>
  <c r="H131" i="13"/>
  <c r="L847" i="15" s="1"/>
  <c r="H131" i="12"/>
  <c r="L667" i="15" s="1"/>
  <c r="H131" i="11"/>
  <c r="L487" i="15" s="1"/>
  <c r="H127" i="14"/>
  <c r="L123" i="15" s="1"/>
  <c r="H127" i="13"/>
  <c r="L843" i="15" s="1"/>
  <c r="H127" i="12"/>
  <c r="L663" i="15" s="1"/>
  <c r="H127" i="11"/>
  <c r="L483" i="15" s="1"/>
  <c r="H127" i="10"/>
  <c r="L303" i="15" s="1"/>
  <c r="H123" i="14"/>
  <c r="L119" i="15" s="1"/>
  <c r="H123" i="13"/>
  <c r="L839" i="15" s="1"/>
  <c r="H123" i="12"/>
  <c r="L659" i="15" s="1"/>
  <c r="H123" i="10"/>
  <c r="L299" i="15" s="1"/>
  <c r="H123" i="11"/>
  <c r="L479" i="15" s="1"/>
  <c r="H119" i="14"/>
  <c r="L115" i="15" s="1"/>
  <c r="H119" i="12"/>
  <c r="L655" i="15" s="1"/>
  <c r="H119" i="13"/>
  <c r="L835" i="15" s="1"/>
  <c r="H119" i="11"/>
  <c r="L475" i="15" s="1"/>
  <c r="H119" i="10"/>
  <c r="L295" i="15" s="1"/>
  <c r="H114" i="14"/>
  <c r="L110" i="15" s="1"/>
  <c r="H114" i="13"/>
  <c r="L830" i="15" s="1"/>
  <c r="H114" i="11"/>
  <c r="L470" i="15" s="1"/>
  <c r="H114" i="12"/>
  <c r="L650" i="15" s="1"/>
  <c r="H114" i="10"/>
  <c r="L290" i="15" s="1"/>
  <c r="H110" i="14"/>
  <c r="L106" i="15" s="1"/>
  <c r="H110" i="13"/>
  <c r="L826" i="15" s="1"/>
  <c r="H110" i="11"/>
  <c r="L466" i="15" s="1"/>
  <c r="H110" i="12"/>
  <c r="L646" i="15" s="1"/>
  <c r="H110" i="10"/>
  <c r="L286" i="15" s="1"/>
  <c r="H106" i="14"/>
  <c r="L102" i="15" s="1"/>
  <c r="H106" i="13"/>
  <c r="L822" i="15" s="1"/>
  <c r="H106" i="11"/>
  <c r="L462" i="15" s="1"/>
  <c r="H106" i="12"/>
  <c r="L642" i="15" s="1"/>
  <c r="H106" i="10"/>
  <c r="L282" i="15" s="1"/>
  <c r="H160" i="14"/>
  <c r="L156" i="15" s="1"/>
  <c r="H160" i="12"/>
  <c r="L696" i="15" s="1"/>
  <c r="H160" i="13"/>
  <c r="L876" i="15" s="1"/>
  <c r="H160" i="11"/>
  <c r="L516" i="15" s="1"/>
  <c r="H160" i="10"/>
  <c r="L336" i="15" s="1"/>
  <c r="H156" i="14"/>
  <c r="L152" i="15" s="1"/>
  <c r="H156" i="12"/>
  <c r="L692" i="15" s="1"/>
  <c r="H156" i="13"/>
  <c r="L872" i="15" s="1"/>
  <c r="H156" i="11"/>
  <c r="L512" i="15" s="1"/>
  <c r="H156" i="10"/>
  <c r="L332" i="15" s="1"/>
  <c r="H152" i="14"/>
  <c r="L148" i="15" s="1"/>
  <c r="H152" i="12"/>
  <c r="L688" i="15" s="1"/>
  <c r="H152" i="13"/>
  <c r="L868" i="15" s="1"/>
  <c r="H152" i="11"/>
  <c r="L508" i="15" s="1"/>
  <c r="H148" i="14"/>
  <c r="L144" i="15" s="1"/>
  <c r="H148" i="12"/>
  <c r="L684" i="15" s="1"/>
  <c r="H148" i="13"/>
  <c r="L864" i="15" s="1"/>
  <c r="H148" i="11"/>
  <c r="L504" i="15" s="1"/>
  <c r="H148" i="10"/>
  <c r="L324" i="15" s="1"/>
  <c r="H143" i="14"/>
  <c r="L139" i="15" s="1"/>
  <c r="H143" i="13"/>
  <c r="L859" i="15" s="1"/>
  <c r="H143" i="12"/>
  <c r="L679" i="15" s="1"/>
  <c r="H143" i="11"/>
  <c r="L499" i="15" s="1"/>
  <c r="H143" i="10"/>
  <c r="L319" i="15" s="1"/>
  <c r="H139" i="14"/>
  <c r="L135" i="15" s="1"/>
  <c r="H139" i="12"/>
  <c r="L675" i="15" s="1"/>
  <c r="H139" i="13"/>
  <c r="L855" i="15" s="1"/>
  <c r="H139" i="10"/>
  <c r="L315" i="15" s="1"/>
  <c r="H139" i="11"/>
  <c r="L495" i="15" s="1"/>
  <c r="H135" i="14"/>
  <c r="L131" i="15" s="1"/>
  <c r="H135" i="13"/>
  <c r="L851" i="15" s="1"/>
  <c r="H135" i="12"/>
  <c r="L671" i="15" s="1"/>
  <c r="H135" i="11"/>
  <c r="L491" i="15" s="1"/>
  <c r="H135" i="10"/>
  <c r="L311" i="15" s="1"/>
  <c r="E293" i="15"/>
  <c r="K293" i="15" s="1"/>
  <c r="H51" i="10"/>
  <c r="L227" i="15" s="1"/>
  <c r="H40" i="10"/>
  <c r="L216" i="15" s="1"/>
  <c r="H35" i="10"/>
  <c r="L211" i="15" s="1"/>
  <c r="H19" i="10"/>
  <c r="L195" i="15" s="1"/>
  <c r="H152" i="10"/>
  <c r="L328" i="15" s="1"/>
  <c r="H131" i="10"/>
  <c r="L307" i="15" s="1"/>
  <c r="H26" i="14"/>
  <c r="L22" i="15" s="1"/>
  <c r="H26" i="13"/>
  <c r="L742" i="15" s="1"/>
  <c r="H26" i="10"/>
  <c r="L202" i="15" s="1"/>
  <c r="H26" i="12"/>
  <c r="L562" i="15" s="1"/>
  <c r="H26" i="11"/>
  <c r="L382" i="15" s="1"/>
  <c r="H25" i="14"/>
  <c r="L21" i="15" s="1"/>
  <c r="H25" i="12"/>
  <c r="L561" i="15" s="1"/>
  <c r="H25" i="11"/>
  <c r="L381" i="15" s="1"/>
  <c r="H25" i="13"/>
  <c r="L741" i="15" s="1"/>
  <c r="H17" i="14"/>
  <c r="L13" i="15" s="1"/>
  <c r="H17" i="12"/>
  <c r="L553" i="15" s="1"/>
  <c r="H17" i="11"/>
  <c r="L373" i="15" s="1"/>
  <c r="H17" i="13"/>
  <c r="L733" i="15" s="1"/>
  <c r="H17" i="10"/>
  <c r="L193" i="15" s="1"/>
  <c r="H13" i="14"/>
  <c r="L9" i="15" s="1"/>
  <c r="H13" i="13"/>
  <c r="L729" i="15" s="1"/>
  <c r="H13" i="11"/>
  <c r="L369" i="15" s="1"/>
  <c r="H13" i="12"/>
  <c r="L549" i="15" s="1"/>
  <c r="H13" i="10"/>
  <c r="L189" i="15" s="1"/>
  <c r="H29" i="14"/>
  <c r="L25" i="15" s="1"/>
  <c r="H29" i="13"/>
  <c r="L745" i="15" s="1"/>
  <c r="H29" i="12"/>
  <c r="L565" i="15" s="1"/>
  <c r="H33" i="14"/>
  <c r="L29" i="15" s="1"/>
  <c r="H33" i="13"/>
  <c r="L749" i="15" s="1"/>
  <c r="H33" i="12"/>
  <c r="L569" i="15" s="1"/>
  <c r="H33" i="11"/>
  <c r="L389" i="15" s="1"/>
  <c r="H37" i="14"/>
  <c r="L33" i="15" s="1"/>
  <c r="H37" i="11"/>
  <c r="L393" i="15" s="1"/>
  <c r="H37" i="13"/>
  <c r="L753" i="15" s="1"/>
  <c r="H37" i="12"/>
  <c r="L573" i="15" s="1"/>
  <c r="H41" i="14"/>
  <c r="L37" i="15" s="1"/>
  <c r="H41" i="13"/>
  <c r="L757" i="15" s="1"/>
  <c r="H41" i="12"/>
  <c r="L577" i="15" s="1"/>
  <c r="H44" i="14"/>
  <c r="L40" i="15" s="1"/>
  <c r="H44" i="13"/>
  <c r="L760" i="15" s="1"/>
  <c r="H44" i="11"/>
  <c r="L400" i="15" s="1"/>
  <c r="H44" i="12"/>
  <c r="L580" i="15" s="1"/>
  <c r="H48" i="14"/>
  <c r="L44" i="15" s="1"/>
  <c r="H48" i="13"/>
  <c r="L764" i="15" s="1"/>
  <c r="H48" i="11"/>
  <c r="L404" i="15" s="1"/>
  <c r="H48" i="12"/>
  <c r="L584" i="15" s="1"/>
  <c r="H52" i="14"/>
  <c r="L48" i="15" s="1"/>
  <c r="H52" i="13"/>
  <c r="L768" i="15" s="1"/>
  <c r="H52" i="11"/>
  <c r="L408" i="15" s="1"/>
  <c r="H52" i="12"/>
  <c r="L588" i="15" s="1"/>
  <c r="H56" i="14"/>
  <c r="L52" i="15" s="1"/>
  <c r="H56" i="13"/>
  <c r="L772" i="15" s="1"/>
  <c r="H56" i="11"/>
  <c r="L412" i="15" s="1"/>
  <c r="H56" i="10"/>
  <c r="L232" i="15" s="1"/>
  <c r="H56" i="12"/>
  <c r="L592" i="15" s="1"/>
  <c r="H69" i="14"/>
  <c r="L65" i="15" s="1"/>
  <c r="H69" i="12"/>
  <c r="L605" i="15" s="1"/>
  <c r="H69" i="10"/>
  <c r="L245" i="15" s="1"/>
  <c r="H69" i="13"/>
  <c r="L785" i="15" s="1"/>
  <c r="H69" i="11"/>
  <c r="L425" i="15" s="1"/>
  <c r="H65" i="14"/>
  <c r="L61" i="15" s="1"/>
  <c r="H65" i="13"/>
  <c r="L781" i="15" s="1"/>
  <c r="H65" i="12"/>
  <c r="L601" i="15" s="1"/>
  <c r="H65" i="10"/>
  <c r="L241" i="15" s="1"/>
  <c r="H65" i="11"/>
  <c r="L421" i="15" s="1"/>
  <c r="H61" i="14"/>
  <c r="L57" i="15" s="1"/>
  <c r="H61" i="12"/>
  <c r="L597" i="15" s="1"/>
  <c r="H61" i="10"/>
  <c r="L237" i="15" s="1"/>
  <c r="H61" i="13"/>
  <c r="L777" i="15" s="1"/>
  <c r="H61" i="11"/>
  <c r="L417" i="15" s="1"/>
  <c r="H57" i="14"/>
  <c r="L53" i="15" s="1"/>
  <c r="H57" i="13"/>
  <c r="L773" i="15" s="1"/>
  <c r="H57" i="12"/>
  <c r="L593" i="15" s="1"/>
  <c r="H57" i="10"/>
  <c r="L233" i="15" s="1"/>
  <c r="H57" i="11"/>
  <c r="L413" i="15" s="1"/>
  <c r="F17" i="14"/>
  <c r="G17" i="14" s="1"/>
  <c r="D13" i="15" s="1"/>
  <c r="F17" i="12"/>
  <c r="G17" i="12" s="1"/>
  <c r="D553" i="15" s="1"/>
  <c r="F21" i="14"/>
  <c r="G21" i="14" s="1"/>
  <c r="D17" i="15" s="1"/>
  <c r="F21" i="12"/>
  <c r="G21" i="12" s="1"/>
  <c r="D557" i="15" s="1"/>
  <c r="F25" i="14"/>
  <c r="G25" i="14" s="1"/>
  <c r="D21" i="15" s="1"/>
  <c r="F25" i="12"/>
  <c r="G25" i="12" s="1"/>
  <c r="D561" i="15" s="1"/>
  <c r="B65" i="9"/>
  <c r="E38" i="15"/>
  <c r="K38" i="15" s="1"/>
  <c r="E758" i="15"/>
  <c r="K758" i="15" s="1"/>
  <c r="E578" i="15"/>
  <c r="K578" i="15" s="1"/>
  <c r="E398" i="15"/>
  <c r="K398" i="15" s="1"/>
  <c r="E128" i="15"/>
  <c r="K128" i="15" s="1"/>
  <c r="E848" i="15"/>
  <c r="K848" i="15" s="1"/>
  <c r="E668" i="15"/>
  <c r="K668" i="15" s="1"/>
  <c r="E488" i="15"/>
  <c r="K488" i="15" s="1"/>
  <c r="B129" i="9"/>
  <c r="B133" i="9"/>
  <c r="B137" i="9"/>
  <c r="B141" i="9"/>
  <c r="B146" i="9"/>
  <c r="B150" i="9"/>
  <c r="B154" i="9"/>
  <c r="B159" i="9"/>
  <c r="B163" i="9"/>
  <c r="B167" i="9"/>
  <c r="H130" i="14"/>
  <c r="L126" i="15" s="1"/>
  <c r="H130" i="12"/>
  <c r="L666" i="15" s="1"/>
  <c r="H130" i="13"/>
  <c r="L846" i="15" s="1"/>
  <c r="H130" i="11"/>
  <c r="L486" i="15" s="1"/>
  <c r="H130" i="10"/>
  <c r="L306" i="15" s="1"/>
  <c r="H126" i="14"/>
  <c r="L122" i="15" s="1"/>
  <c r="H126" i="12"/>
  <c r="L662" i="15" s="1"/>
  <c r="H126" i="13"/>
  <c r="L842" i="15" s="1"/>
  <c r="H126" i="11"/>
  <c r="L482" i="15" s="1"/>
  <c r="H126" i="10"/>
  <c r="L302" i="15" s="1"/>
  <c r="H122" i="14"/>
  <c r="L118" i="15" s="1"/>
  <c r="H122" i="12"/>
  <c r="L658" i="15" s="1"/>
  <c r="H122" i="11"/>
  <c r="L478" i="15" s="1"/>
  <c r="H122" i="10"/>
  <c r="L298" i="15" s="1"/>
  <c r="H122" i="13"/>
  <c r="L838" i="15" s="1"/>
  <c r="H118" i="14"/>
  <c r="L114" i="15" s="1"/>
  <c r="H118" i="13"/>
  <c r="L834" i="15" s="1"/>
  <c r="H118" i="11"/>
  <c r="L474" i="15" s="1"/>
  <c r="H118" i="10"/>
  <c r="L294" i="15" s="1"/>
  <c r="H118" i="12"/>
  <c r="L654" i="15" s="1"/>
  <c r="H113" i="14"/>
  <c r="L109" i="15" s="1"/>
  <c r="H113" i="13"/>
  <c r="L829" i="15" s="1"/>
  <c r="H113" i="12"/>
  <c r="L649" i="15" s="1"/>
  <c r="H113" i="11"/>
  <c r="L469" i="15" s="1"/>
  <c r="H109" i="14"/>
  <c r="L105" i="15" s="1"/>
  <c r="H109" i="13"/>
  <c r="L825" i="15" s="1"/>
  <c r="H109" i="12"/>
  <c r="L645" i="15" s="1"/>
  <c r="H109" i="11"/>
  <c r="L465" i="15" s="1"/>
  <c r="H105" i="14"/>
  <c r="L101" i="15" s="1"/>
  <c r="H105" i="12"/>
  <c r="L641" i="15" s="1"/>
  <c r="H105" i="13"/>
  <c r="L821" i="15" s="1"/>
  <c r="H105" i="11"/>
  <c r="L461" i="15" s="1"/>
  <c r="H159" i="14"/>
  <c r="L155" i="15" s="1"/>
  <c r="H159" i="13"/>
  <c r="L875" i="15" s="1"/>
  <c r="H159" i="12"/>
  <c r="L695" i="15" s="1"/>
  <c r="H159" i="11"/>
  <c r="L515" i="15" s="1"/>
  <c r="H159" i="10"/>
  <c r="L335" i="15" s="1"/>
  <c r="H155" i="14"/>
  <c r="L151" i="15" s="1"/>
  <c r="H155" i="12"/>
  <c r="L691" i="15" s="1"/>
  <c r="H155" i="13"/>
  <c r="L871" i="15" s="1"/>
  <c r="H155" i="10"/>
  <c r="L331" i="15" s="1"/>
  <c r="H155" i="11"/>
  <c r="L511" i="15" s="1"/>
  <c r="H151" i="14"/>
  <c r="L147" i="15" s="1"/>
  <c r="H151" i="13"/>
  <c r="L867" i="15" s="1"/>
  <c r="H151" i="12"/>
  <c r="L687" i="15" s="1"/>
  <c r="H151" i="11"/>
  <c r="L507" i="15" s="1"/>
  <c r="H151" i="10"/>
  <c r="L327" i="15" s="1"/>
  <c r="H146" i="14"/>
  <c r="L142" i="15" s="1"/>
  <c r="H146" i="12"/>
  <c r="L682" i="15" s="1"/>
  <c r="H146" i="13"/>
  <c r="L862" i="15" s="1"/>
  <c r="H146" i="11"/>
  <c r="L502" i="15" s="1"/>
  <c r="H146" i="10"/>
  <c r="L322" i="15" s="1"/>
  <c r="H142" i="14"/>
  <c r="L138" i="15" s="1"/>
  <c r="H142" i="12"/>
  <c r="L678" i="15" s="1"/>
  <c r="H142" i="13"/>
  <c r="L858" i="15" s="1"/>
  <c r="H142" i="11"/>
  <c r="L498" i="15" s="1"/>
  <c r="H142" i="10"/>
  <c r="L318" i="15" s="1"/>
  <c r="H138" i="14"/>
  <c r="L134" i="15" s="1"/>
  <c r="H138" i="12"/>
  <c r="L674" i="15" s="1"/>
  <c r="H138" i="13"/>
  <c r="L854" i="15" s="1"/>
  <c r="H138" i="11"/>
  <c r="L494" i="15" s="1"/>
  <c r="H138" i="10"/>
  <c r="L314" i="15" s="1"/>
  <c r="H134" i="14"/>
  <c r="L130" i="15" s="1"/>
  <c r="H134" i="12"/>
  <c r="L670" i="15" s="1"/>
  <c r="H134" i="13"/>
  <c r="L850" i="15" s="1"/>
  <c r="H134" i="11"/>
  <c r="L490" i="15" s="1"/>
  <c r="H134" i="10"/>
  <c r="L310" i="15" s="1"/>
  <c r="F132" i="10"/>
  <c r="G132" i="10" s="1"/>
  <c r="D308" i="15" s="1"/>
  <c r="E203" i="15"/>
  <c r="K203" i="15" s="1"/>
  <c r="E288" i="15"/>
  <c r="K288" i="15" s="1"/>
  <c r="E308" i="15"/>
  <c r="K308" i="15" s="1"/>
  <c r="H44" i="10"/>
  <c r="L220" i="15" s="1"/>
  <c r="H39" i="10"/>
  <c r="L215" i="15" s="1"/>
  <c r="H33" i="10"/>
  <c r="L209" i="15" s="1"/>
  <c r="H28" i="10"/>
  <c r="L204" i="15" s="1"/>
  <c r="H23" i="10"/>
  <c r="L199" i="15" s="1"/>
  <c r="H16" i="10"/>
  <c r="L192" i="15" s="1"/>
  <c r="H113" i="10"/>
  <c r="L289" i="15" s="1"/>
  <c r="H105" i="10"/>
  <c r="L281" i="15" s="1"/>
  <c r="H59" i="10"/>
  <c r="L235" i="15" s="1"/>
  <c r="E557" i="15"/>
  <c r="K557" i="15" s="1"/>
  <c r="H14" i="13"/>
  <c r="L730" i="15" s="1"/>
  <c r="H14" i="14"/>
  <c r="L10" i="15" s="1"/>
  <c r="H14" i="10"/>
  <c r="L190" i="15" s="1"/>
  <c r="H14" i="12"/>
  <c r="L550" i="15" s="1"/>
  <c r="E369" i="15"/>
  <c r="K369" i="15" s="1"/>
  <c r="H24" i="14"/>
  <c r="L20" i="15" s="1"/>
  <c r="H24" i="13"/>
  <c r="L740" i="15" s="1"/>
  <c r="H24" i="12"/>
  <c r="L560" i="15" s="1"/>
  <c r="H24" i="11"/>
  <c r="L380" i="15" s="1"/>
  <c r="H20" i="13"/>
  <c r="L736" i="15" s="1"/>
  <c r="H20" i="14"/>
  <c r="L16" i="15" s="1"/>
  <c r="H20" i="11"/>
  <c r="L376" i="15" s="1"/>
  <c r="H20" i="12"/>
  <c r="L556" i="15" s="1"/>
  <c r="H16" i="13"/>
  <c r="L732" i="15" s="1"/>
  <c r="H16" i="14"/>
  <c r="L12" i="15" s="1"/>
  <c r="H16" i="12"/>
  <c r="L552" i="15" s="1"/>
  <c r="H12" i="14"/>
  <c r="L8" i="15" s="1"/>
  <c r="H12" i="11"/>
  <c r="L368" i="15" s="1"/>
  <c r="H12" i="13"/>
  <c r="L728" i="15" s="1"/>
  <c r="H12" i="12"/>
  <c r="L548" i="15" s="1"/>
  <c r="H30" i="14"/>
  <c r="L26" i="15" s="1"/>
  <c r="H30" i="12"/>
  <c r="L566" i="15" s="1"/>
  <c r="H30" i="11"/>
  <c r="L386" i="15" s="1"/>
  <c r="H30" i="13"/>
  <c r="L746" i="15" s="1"/>
  <c r="H30" i="10"/>
  <c r="L206" i="15" s="1"/>
  <c r="H34" i="14"/>
  <c r="L30" i="15" s="1"/>
  <c r="H34" i="12"/>
  <c r="L570" i="15" s="1"/>
  <c r="H34" i="13"/>
  <c r="L750" i="15" s="1"/>
  <c r="H34" i="10"/>
  <c r="L210" i="15" s="1"/>
  <c r="H38" i="14"/>
  <c r="L34" i="15" s="1"/>
  <c r="H38" i="13"/>
  <c r="L754" i="15" s="1"/>
  <c r="H38" i="10"/>
  <c r="L214" i="15" s="1"/>
  <c r="H38" i="12"/>
  <c r="L574" i="15" s="1"/>
  <c r="H38" i="11"/>
  <c r="L394" i="15" s="1"/>
  <c r="H45" i="14"/>
  <c r="L41" i="15" s="1"/>
  <c r="H45" i="12"/>
  <c r="L581" i="15" s="1"/>
  <c r="H45" i="13"/>
  <c r="L761" i="15" s="1"/>
  <c r="H45" i="11"/>
  <c r="L401" i="15" s="1"/>
  <c r="H49" i="14"/>
  <c r="L45" i="15" s="1"/>
  <c r="H49" i="13"/>
  <c r="L765" i="15" s="1"/>
  <c r="H49" i="12"/>
  <c r="L585" i="15" s="1"/>
  <c r="H49" i="11"/>
  <c r="L405" i="15" s="1"/>
  <c r="H53" i="14"/>
  <c r="L49" i="15" s="1"/>
  <c r="H53" i="12"/>
  <c r="L589" i="15" s="1"/>
  <c r="H53" i="10"/>
  <c r="L229" i="15" s="1"/>
  <c r="H53" i="13"/>
  <c r="L769" i="15" s="1"/>
  <c r="H53" i="11"/>
  <c r="L409" i="15" s="1"/>
  <c r="H68" i="14"/>
  <c r="L64" i="15" s="1"/>
  <c r="H68" i="13"/>
  <c r="L784" i="15" s="1"/>
  <c r="H68" i="11"/>
  <c r="L424" i="15" s="1"/>
  <c r="H68" i="12"/>
  <c r="L604" i="15" s="1"/>
  <c r="H68" i="10"/>
  <c r="L244" i="15" s="1"/>
  <c r="H64" i="14"/>
  <c r="L60" i="15" s="1"/>
  <c r="H64" i="13"/>
  <c r="L780" i="15" s="1"/>
  <c r="H64" i="11"/>
  <c r="L420" i="15" s="1"/>
  <c r="H64" i="12"/>
  <c r="L600" i="15" s="1"/>
  <c r="H60" i="14"/>
  <c r="L56" i="15" s="1"/>
  <c r="H60" i="13"/>
  <c r="L776" i="15" s="1"/>
  <c r="H60" i="11"/>
  <c r="L416" i="15" s="1"/>
  <c r="H60" i="12"/>
  <c r="L596" i="15" s="1"/>
  <c r="H60" i="10"/>
  <c r="L236" i="15" s="1"/>
  <c r="F14" i="14"/>
  <c r="G14" i="14" s="1"/>
  <c r="D10" i="15" s="1"/>
  <c r="F14" i="13"/>
  <c r="G14" i="13" s="1"/>
  <c r="D730" i="15" s="1"/>
  <c r="F14" i="12"/>
  <c r="G14" i="12" s="1"/>
  <c r="D550" i="15" s="1"/>
  <c r="F14" i="11"/>
  <c r="G14" i="11" s="1"/>
  <c r="D370" i="15" s="1"/>
  <c r="F18" i="14"/>
  <c r="G18" i="14" s="1"/>
  <c r="D14" i="15" s="1"/>
  <c r="F18" i="12"/>
  <c r="G18" i="12" s="1"/>
  <c r="D554" i="15" s="1"/>
  <c r="F18" i="11"/>
  <c r="G18" i="11" s="1"/>
  <c r="D374" i="15" s="1"/>
  <c r="F22" i="14"/>
  <c r="G22" i="14" s="1"/>
  <c r="D18" i="15" s="1"/>
  <c r="F22" i="12"/>
  <c r="G22" i="12" s="1"/>
  <c r="D558" i="15" s="1"/>
  <c r="F22" i="11"/>
  <c r="G22" i="11" s="1"/>
  <c r="D378" i="15" s="1"/>
  <c r="F26" i="14"/>
  <c r="G26" i="14" s="1"/>
  <c r="D22" i="15" s="1"/>
  <c r="F26" i="11"/>
  <c r="G26" i="11" s="1"/>
  <c r="D382" i="15" s="1"/>
  <c r="F26" i="12"/>
  <c r="G26" i="12" s="1"/>
  <c r="D562" i="15" s="1"/>
  <c r="E8" i="15"/>
  <c r="K8" i="15" s="1"/>
  <c r="E728" i="15"/>
  <c r="K728" i="15" s="1"/>
  <c r="E548" i="15"/>
  <c r="K548" i="15" s="1"/>
  <c r="E368" i="15"/>
  <c r="K368" i="15" s="1"/>
  <c r="E53" i="15"/>
  <c r="K53" i="15" s="1"/>
  <c r="E773" i="15"/>
  <c r="K773" i="15" s="1"/>
  <c r="E593" i="15"/>
  <c r="K593" i="15" s="1"/>
  <c r="E413" i="15"/>
  <c r="K413" i="15" s="1"/>
  <c r="E143" i="15"/>
  <c r="K143" i="15" s="1"/>
  <c r="E863" i="15"/>
  <c r="E683" i="15"/>
  <c r="K683" i="15" s="1"/>
  <c r="E503" i="15"/>
  <c r="K503" i="15" s="1"/>
  <c r="B130" i="9"/>
  <c r="B134" i="9"/>
  <c r="B138" i="9"/>
  <c r="B142" i="9"/>
  <c r="B147" i="9"/>
  <c r="B151" i="9"/>
  <c r="B155" i="9"/>
  <c r="B160" i="9"/>
  <c r="B164" i="9"/>
  <c r="B168" i="9"/>
  <c r="B172" i="9"/>
  <c r="H102" i="14"/>
  <c r="L98" i="15" s="1"/>
  <c r="H102" i="13"/>
  <c r="L818" i="15" s="1"/>
  <c r="H102" i="11"/>
  <c r="L458" i="15" s="1"/>
  <c r="H102" i="10"/>
  <c r="L278" i="15" s="1"/>
  <c r="H102" i="12"/>
  <c r="L638" i="15" s="1"/>
  <c r="H129" i="14"/>
  <c r="L125" i="15" s="1"/>
  <c r="H129" i="13"/>
  <c r="L845" i="15" s="1"/>
  <c r="H129" i="12"/>
  <c r="L665" i="15" s="1"/>
  <c r="H129" i="10"/>
  <c r="L305" i="15" s="1"/>
  <c r="H129" i="11"/>
  <c r="L485" i="15" s="1"/>
  <c r="H125" i="14"/>
  <c r="L121" i="15" s="1"/>
  <c r="H125" i="13"/>
  <c r="L841" i="15" s="1"/>
  <c r="H125" i="11"/>
  <c r="L481" i="15" s="1"/>
  <c r="H125" i="12"/>
  <c r="L661" i="15" s="1"/>
  <c r="H121" i="14"/>
  <c r="L117" i="15" s="1"/>
  <c r="H121" i="13"/>
  <c r="L837" i="15" s="1"/>
  <c r="H121" i="12"/>
  <c r="L657" i="15" s="1"/>
  <c r="H121" i="11"/>
  <c r="L477" i="15" s="1"/>
  <c r="H121" i="10"/>
  <c r="L297" i="15" s="1"/>
  <c r="H116" i="14"/>
  <c r="L112" i="15" s="1"/>
  <c r="H116" i="13"/>
  <c r="L832" i="15" s="1"/>
  <c r="H116" i="11"/>
  <c r="L472" i="15" s="1"/>
  <c r="H116" i="12"/>
  <c r="L652" i="15" s="1"/>
  <c r="H112" i="14"/>
  <c r="L108" i="15" s="1"/>
  <c r="H112" i="13"/>
  <c r="L828" i="15" s="1"/>
  <c r="H112" i="11"/>
  <c r="L468" i="15" s="1"/>
  <c r="H112" i="12"/>
  <c r="L648" i="15" s="1"/>
  <c r="H108" i="14"/>
  <c r="L104" i="15" s="1"/>
  <c r="H108" i="13"/>
  <c r="L824" i="15" s="1"/>
  <c r="H108" i="11"/>
  <c r="L464" i="15" s="1"/>
  <c r="H108" i="12"/>
  <c r="L644" i="15" s="1"/>
  <c r="H104" i="14"/>
  <c r="L100" i="15" s="1"/>
  <c r="H104" i="13"/>
  <c r="L820" i="15" s="1"/>
  <c r="H104" i="11"/>
  <c r="L460" i="15" s="1"/>
  <c r="H104" i="12"/>
  <c r="L640" i="15" s="1"/>
  <c r="H158" i="14"/>
  <c r="L154" i="15" s="1"/>
  <c r="H158" i="12"/>
  <c r="L694" i="15" s="1"/>
  <c r="H158" i="13"/>
  <c r="L874" i="15" s="1"/>
  <c r="H158" i="11"/>
  <c r="L514" i="15" s="1"/>
  <c r="H158" i="10"/>
  <c r="L334" i="15" s="1"/>
  <c r="H154" i="14"/>
  <c r="L150" i="15" s="1"/>
  <c r="H154" i="12"/>
  <c r="L690" i="15" s="1"/>
  <c r="H154" i="13"/>
  <c r="L870" i="15" s="1"/>
  <c r="H154" i="11"/>
  <c r="L510" i="15" s="1"/>
  <c r="H154" i="10"/>
  <c r="L330" i="15" s="1"/>
  <c r="H150" i="14"/>
  <c r="L146" i="15" s="1"/>
  <c r="H150" i="12"/>
  <c r="L686" i="15" s="1"/>
  <c r="H150" i="13"/>
  <c r="L866" i="15" s="1"/>
  <c r="H150" i="11"/>
  <c r="L506" i="15" s="1"/>
  <c r="H150" i="10"/>
  <c r="L326" i="15" s="1"/>
  <c r="H145" i="14"/>
  <c r="L141" i="15" s="1"/>
  <c r="H145" i="13"/>
  <c r="L861" i="15" s="1"/>
  <c r="H145" i="12"/>
  <c r="L681" i="15" s="1"/>
  <c r="H145" i="10"/>
  <c r="L321" i="15" s="1"/>
  <c r="H145" i="11"/>
  <c r="L501" i="15" s="1"/>
  <c r="H141" i="14"/>
  <c r="L137" i="15" s="1"/>
  <c r="H141" i="13"/>
  <c r="L857" i="15" s="1"/>
  <c r="H141" i="12"/>
  <c r="L677" i="15" s="1"/>
  <c r="H141" i="11"/>
  <c r="L497" i="15" s="1"/>
  <c r="H137" i="14"/>
  <c r="L133" i="15" s="1"/>
  <c r="H137" i="13"/>
  <c r="L853" i="15" s="1"/>
  <c r="H137" i="12"/>
  <c r="L673" i="15" s="1"/>
  <c r="H137" i="11"/>
  <c r="L493" i="15" s="1"/>
  <c r="H137" i="10"/>
  <c r="L313" i="15" s="1"/>
  <c r="H133" i="14"/>
  <c r="L129" i="15" s="1"/>
  <c r="H133" i="13"/>
  <c r="L849" i="15" s="1"/>
  <c r="H133" i="12"/>
  <c r="L669" i="15" s="1"/>
  <c r="H133" i="11"/>
  <c r="L489" i="15" s="1"/>
  <c r="H133" i="10"/>
  <c r="L309" i="15" s="1"/>
  <c r="E188" i="15"/>
  <c r="K188" i="15" s="1"/>
  <c r="E233" i="15"/>
  <c r="K233" i="15" s="1"/>
  <c r="E323" i="15"/>
  <c r="K323" i="15" s="1"/>
  <c r="H12" i="10"/>
  <c r="L188" i="15" s="1"/>
  <c r="H48" i="10"/>
  <c r="L224" i="15" s="1"/>
  <c r="H43" i="10"/>
  <c r="L219" i="15" s="1"/>
  <c r="H37" i="10"/>
  <c r="L213" i="15" s="1"/>
  <c r="H32" i="10"/>
  <c r="L208" i="15" s="1"/>
  <c r="H27" i="10"/>
  <c r="L203" i="15" s="1"/>
  <c r="H21" i="10"/>
  <c r="L197" i="15" s="1"/>
  <c r="H15" i="10"/>
  <c r="L191" i="15" s="1"/>
  <c r="H112" i="10"/>
  <c r="L288" i="15" s="1"/>
  <c r="H104" i="10"/>
  <c r="L280" i="15" s="1"/>
  <c r="H54" i="10"/>
  <c r="L230" i="15" s="1"/>
  <c r="H141" i="10"/>
  <c r="L317" i="15" s="1"/>
  <c r="H120" i="10"/>
  <c r="L296" i="15" s="1"/>
  <c r="H18" i="11"/>
  <c r="L374" i="15" s="1"/>
  <c r="H36" i="11"/>
  <c r="L392" i="15" s="1"/>
  <c r="H43" i="11"/>
  <c r="L399" i="15" s="1"/>
  <c r="F38" i="13"/>
  <c r="G38" i="13" s="1"/>
  <c r="D754" i="15" s="1"/>
  <c r="F34" i="11"/>
  <c r="G34" i="11" s="1"/>
  <c r="D390" i="15" s="1"/>
  <c r="F34" i="12"/>
  <c r="G34" i="12" s="1"/>
  <c r="D570" i="15" s="1"/>
  <c r="F22" i="13"/>
  <c r="G22" i="13" s="1"/>
  <c r="D738" i="15" s="1"/>
  <c r="F20" i="13"/>
  <c r="G20" i="13" s="1"/>
  <c r="D736" i="15" s="1"/>
  <c r="F16" i="13"/>
  <c r="G16" i="13" s="1"/>
  <c r="D732" i="15" s="1"/>
  <c r="F24" i="13"/>
  <c r="G24" i="13" s="1"/>
  <c r="D740" i="15" s="1"/>
  <c r="F36" i="13"/>
  <c r="G36" i="13" s="1"/>
  <c r="D752" i="15" s="1"/>
  <c r="F18" i="13"/>
  <c r="G18" i="13" s="1"/>
  <c r="D734" i="15" s="1"/>
  <c r="F26" i="13"/>
  <c r="G26" i="13" s="1"/>
  <c r="D742" i="15" s="1"/>
  <c r="F40" i="13"/>
  <c r="G40" i="13" s="1"/>
  <c r="D756" i="15" s="1"/>
  <c r="F13" i="11"/>
  <c r="G13" i="11" s="1"/>
  <c r="D369" i="15" s="1"/>
  <c r="F17" i="11"/>
  <c r="G17" i="11" s="1"/>
  <c r="D373" i="15" s="1"/>
  <c r="F21" i="11"/>
  <c r="G21" i="11" s="1"/>
  <c r="D377" i="15" s="1"/>
  <c r="F25" i="11"/>
  <c r="G25" i="11" s="1"/>
  <c r="D381" i="15" s="1"/>
  <c r="F38" i="11"/>
  <c r="G38" i="11" s="1"/>
  <c r="D394" i="15" s="1"/>
  <c r="F15" i="13"/>
  <c r="G15" i="13" s="1"/>
  <c r="D731" i="15" s="1"/>
  <c r="F19" i="13"/>
  <c r="G19" i="13" s="1"/>
  <c r="D735" i="15" s="1"/>
  <c r="F23" i="13"/>
  <c r="G23" i="13" s="1"/>
  <c r="D739" i="15" s="1"/>
  <c r="F34" i="13"/>
  <c r="G34" i="13" s="1"/>
  <c r="D750" i="15" s="1"/>
  <c r="F15" i="11"/>
  <c r="G15" i="11" s="1"/>
  <c r="D371" i="15" s="1"/>
  <c r="F19" i="11"/>
  <c r="G19" i="11" s="1"/>
  <c r="D375" i="15" s="1"/>
  <c r="F23" i="11"/>
  <c r="G23" i="11" s="1"/>
  <c r="D379" i="15" s="1"/>
  <c r="F38" i="12"/>
  <c r="G38" i="12" s="1"/>
  <c r="D574" i="15" s="1"/>
  <c r="F13" i="13"/>
  <c r="G13" i="13" s="1"/>
  <c r="D729" i="15" s="1"/>
  <c r="F17" i="13"/>
  <c r="G17" i="13" s="1"/>
  <c r="D733" i="15" s="1"/>
  <c r="F21" i="13"/>
  <c r="G21" i="13" s="1"/>
  <c r="D737" i="15" s="1"/>
  <c r="F25" i="13"/>
  <c r="G25" i="13" s="1"/>
  <c r="D741" i="15" s="1"/>
  <c r="G76" i="8"/>
  <c r="J315" i="4" s="1"/>
  <c r="G70" i="6"/>
  <c r="J354" i="4" s="1"/>
  <c r="G73" i="5"/>
  <c r="J342" i="4" s="1"/>
  <c r="G77" i="6"/>
  <c r="J361" i="4" s="1"/>
  <c r="G73" i="6"/>
  <c r="J357" i="4" s="1"/>
  <c r="G71" i="6"/>
  <c r="J355" i="4" s="1"/>
  <c r="G79" i="2"/>
  <c r="J333" i="4" s="1"/>
  <c r="G75" i="2"/>
  <c r="J329" i="4" s="1"/>
  <c r="G82" i="2"/>
  <c r="J336" i="4" s="1"/>
  <c r="G80" i="2"/>
  <c r="J334" i="4" s="1"/>
  <c r="G78" i="2"/>
  <c r="J332" i="4" s="1"/>
  <c r="G76" i="2"/>
  <c r="J330" i="4" s="1"/>
  <c r="G74" i="2"/>
  <c r="J328" i="4" s="1"/>
  <c r="G72" i="2"/>
  <c r="J326" i="4" s="1"/>
  <c r="G70" i="2"/>
  <c r="J324" i="4" s="1"/>
  <c r="G82" i="5"/>
  <c r="J351" i="4" s="1"/>
  <c r="G78" i="6"/>
  <c r="J362" i="4" s="1"/>
  <c r="G72" i="6"/>
  <c r="J356" i="4" s="1"/>
  <c r="G83" i="7"/>
  <c r="J382" i="4" s="1"/>
  <c r="G72" i="5"/>
  <c r="J341" i="4" s="1"/>
  <c r="G74" i="6"/>
  <c r="J358" i="4" s="1"/>
  <c r="F318" i="4"/>
  <c r="F310" i="4"/>
  <c r="G310" i="4"/>
  <c r="F314" i="4"/>
  <c r="G314" i="4"/>
  <c r="G80" i="8"/>
  <c r="J319" i="4" s="1"/>
  <c r="G72" i="8"/>
  <c r="J311" i="4" s="1"/>
  <c r="F319" i="4"/>
  <c r="F311" i="4"/>
  <c r="F308" i="4"/>
  <c r="G308" i="4"/>
  <c r="F315" i="4"/>
  <c r="G81" i="2"/>
  <c r="J335" i="4" s="1"/>
  <c r="G77" i="2"/>
  <c r="J331" i="4" s="1"/>
  <c r="G73" i="2"/>
  <c r="J327" i="4" s="1"/>
  <c r="G76" i="5"/>
  <c r="J345" i="4" s="1"/>
  <c r="G74" i="5"/>
  <c r="J343" i="4" s="1"/>
  <c r="G71" i="5"/>
  <c r="J340" i="4" s="1"/>
  <c r="G83" i="6"/>
  <c r="J367" i="4" s="1"/>
  <c r="G81" i="6"/>
  <c r="J365" i="4" s="1"/>
  <c r="G81" i="7"/>
  <c r="J380" i="4" s="1"/>
  <c r="AI7" i="15"/>
  <c r="G79" i="7"/>
  <c r="J378" i="4" s="1"/>
  <c r="G77" i="7"/>
  <c r="J376" i="4" s="1"/>
  <c r="G75" i="7"/>
  <c r="J374" i="4" s="1"/>
  <c r="G73" i="7"/>
  <c r="J372" i="4" s="1"/>
  <c r="G71" i="7"/>
  <c r="J370" i="4" s="1"/>
  <c r="AI8" i="15"/>
  <c r="Y17" i="15"/>
  <c r="Y16" i="15"/>
  <c r="Y15" i="15"/>
  <c r="Y14" i="15"/>
  <c r="Y13" i="15"/>
  <c r="X8" i="15"/>
  <c r="Y7" i="15"/>
  <c r="X17" i="15"/>
  <c r="X16" i="15"/>
  <c r="X15" i="15"/>
  <c r="X14" i="15"/>
  <c r="X13" i="15"/>
  <c r="X7" i="15"/>
  <c r="Y6" i="15"/>
  <c r="X9" i="15"/>
  <c r="Y9" i="15"/>
  <c r="X6" i="15"/>
  <c r="X5" i="15"/>
  <c r="Y8" i="15"/>
  <c r="Y5" i="15"/>
  <c r="F56" i="14"/>
  <c r="G56" i="14" s="1"/>
  <c r="D52" i="15" s="1"/>
  <c r="F55" i="14"/>
  <c r="G55" i="14" s="1"/>
  <c r="D51" i="15" s="1"/>
  <c r="F54" i="14"/>
  <c r="G54" i="14" s="1"/>
  <c r="D50" i="15" s="1"/>
  <c r="F53" i="14"/>
  <c r="G53" i="14" s="1"/>
  <c r="D49" i="15" s="1"/>
  <c r="F52" i="14"/>
  <c r="G52" i="14" s="1"/>
  <c r="D48" i="15" s="1"/>
  <c r="F51" i="14"/>
  <c r="G51" i="14" s="1"/>
  <c r="D47" i="15" s="1"/>
  <c r="F50" i="14"/>
  <c r="G50" i="14" s="1"/>
  <c r="D46" i="15" s="1"/>
  <c r="F49" i="14"/>
  <c r="G49" i="14" s="1"/>
  <c r="D45" i="15" s="1"/>
  <c r="F48" i="14"/>
  <c r="G48" i="14" s="1"/>
  <c r="D44" i="15" s="1"/>
  <c r="F47" i="14"/>
  <c r="G47" i="14" s="1"/>
  <c r="D43" i="15" s="1"/>
  <c r="F46" i="14"/>
  <c r="G46" i="14" s="1"/>
  <c r="D42" i="15" s="1"/>
  <c r="F45" i="14"/>
  <c r="G45" i="14" s="1"/>
  <c r="D41" i="15" s="1"/>
  <c r="F44" i="14"/>
  <c r="G44" i="14" s="1"/>
  <c r="D40" i="15" s="1"/>
  <c r="F43" i="14"/>
  <c r="G43" i="14" s="1"/>
  <c r="D39" i="15" s="1"/>
  <c r="F161" i="14"/>
  <c r="G161" i="14" s="1"/>
  <c r="D157" i="15" s="1"/>
  <c r="F160" i="14"/>
  <c r="G160" i="14" s="1"/>
  <c r="D156" i="15" s="1"/>
  <c r="F159" i="14"/>
  <c r="G159" i="14" s="1"/>
  <c r="D155" i="15" s="1"/>
  <c r="F158" i="14"/>
  <c r="G158" i="14" s="1"/>
  <c r="D154" i="15" s="1"/>
  <c r="F157" i="14"/>
  <c r="G157" i="14" s="1"/>
  <c r="D153" i="15" s="1"/>
  <c r="F156" i="14"/>
  <c r="G156" i="14" s="1"/>
  <c r="D152" i="15" s="1"/>
  <c r="F155" i="14"/>
  <c r="G155" i="14" s="1"/>
  <c r="D151" i="15" s="1"/>
  <c r="F154" i="14"/>
  <c r="G154" i="14" s="1"/>
  <c r="D150" i="15" s="1"/>
  <c r="F153" i="14"/>
  <c r="G153" i="14" s="1"/>
  <c r="D149" i="15" s="1"/>
  <c r="F152" i="14"/>
  <c r="G152" i="14" s="1"/>
  <c r="D148" i="15" s="1"/>
  <c r="F151" i="14"/>
  <c r="G151" i="14" s="1"/>
  <c r="D147" i="15" s="1"/>
  <c r="F150" i="14"/>
  <c r="G150" i="14" s="1"/>
  <c r="D146" i="15" s="1"/>
  <c r="F149" i="14"/>
  <c r="G149" i="14" s="1"/>
  <c r="D145" i="15" s="1"/>
  <c r="F148" i="14"/>
  <c r="G148" i="14" s="1"/>
  <c r="D144" i="15" s="1"/>
  <c r="F147" i="14"/>
  <c r="G147" i="14" s="1"/>
  <c r="D143" i="15" s="1"/>
  <c r="F146" i="14"/>
  <c r="G146" i="14" s="1"/>
  <c r="D142" i="15" s="1"/>
  <c r="F145" i="14"/>
  <c r="G145" i="14" s="1"/>
  <c r="D141" i="15" s="1"/>
  <c r="F144" i="14"/>
  <c r="G144" i="14" s="1"/>
  <c r="D140" i="15" s="1"/>
  <c r="F143" i="14"/>
  <c r="G143" i="14" s="1"/>
  <c r="D139" i="15" s="1"/>
  <c r="F142" i="14"/>
  <c r="G142" i="14" s="1"/>
  <c r="D138" i="15" s="1"/>
  <c r="F141" i="14"/>
  <c r="G141" i="14" s="1"/>
  <c r="D137" i="15" s="1"/>
  <c r="F140" i="14"/>
  <c r="G140" i="14" s="1"/>
  <c r="D136" i="15" s="1"/>
  <c r="F139" i="14"/>
  <c r="G139" i="14" s="1"/>
  <c r="D135" i="15" s="1"/>
  <c r="F138" i="14"/>
  <c r="G138" i="14" s="1"/>
  <c r="D134" i="15" s="1"/>
  <c r="F137" i="14"/>
  <c r="G137" i="14" s="1"/>
  <c r="D133" i="15" s="1"/>
  <c r="F136" i="14"/>
  <c r="G136" i="14" s="1"/>
  <c r="D132" i="15" s="1"/>
  <c r="F135" i="14"/>
  <c r="G135" i="14" s="1"/>
  <c r="D131" i="15" s="1"/>
  <c r="F134" i="14"/>
  <c r="G134" i="14" s="1"/>
  <c r="D130" i="15" s="1"/>
  <c r="F133" i="14"/>
  <c r="G133" i="14" s="1"/>
  <c r="D129" i="15" s="1"/>
  <c r="F132" i="14"/>
  <c r="G132" i="14" s="1"/>
  <c r="D128" i="15" s="1"/>
  <c r="F131" i="14"/>
  <c r="G131" i="14" s="1"/>
  <c r="D127" i="15" s="1"/>
  <c r="F130" i="14"/>
  <c r="G130" i="14" s="1"/>
  <c r="D126" i="15" s="1"/>
  <c r="F129" i="14"/>
  <c r="G129" i="14" s="1"/>
  <c r="D125" i="15" s="1"/>
  <c r="F128" i="14"/>
  <c r="G128" i="14" s="1"/>
  <c r="D124" i="15" s="1"/>
  <c r="F127" i="14"/>
  <c r="G127" i="14" s="1"/>
  <c r="D123" i="15" s="1"/>
  <c r="F126" i="14"/>
  <c r="G126" i="14" s="1"/>
  <c r="D122" i="15" s="1"/>
  <c r="F125" i="14"/>
  <c r="G125" i="14" s="1"/>
  <c r="D121" i="15" s="1"/>
  <c r="F124" i="14"/>
  <c r="G124" i="14" s="1"/>
  <c r="D120" i="15" s="1"/>
  <c r="F123" i="14"/>
  <c r="G123" i="14" s="1"/>
  <c r="D119" i="15" s="1"/>
  <c r="F122" i="14"/>
  <c r="G122" i="14" s="1"/>
  <c r="D118" i="15" s="1"/>
  <c r="F121" i="14"/>
  <c r="G121" i="14" s="1"/>
  <c r="D117" i="15" s="1"/>
  <c r="F120" i="14"/>
  <c r="G120" i="14" s="1"/>
  <c r="D116" i="15" s="1"/>
  <c r="F119" i="14"/>
  <c r="G119" i="14" s="1"/>
  <c r="D115" i="15" s="1"/>
  <c r="F118" i="14"/>
  <c r="G118" i="14" s="1"/>
  <c r="D114" i="15" s="1"/>
  <c r="F117" i="14"/>
  <c r="G117" i="14" s="1"/>
  <c r="D113" i="15" s="1"/>
  <c r="F116" i="14"/>
  <c r="G116" i="14" s="1"/>
  <c r="D112" i="15" s="1"/>
  <c r="F115" i="14"/>
  <c r="G115" i="14" s="1"/>
  <c r="D111" i="15" s="1"/>
  <c r="F114" i="14"/>
  <c r="G114" i="14" s="1"/>
  <c r="D110" i="15" s="1"/>
  <c r="F113" i="14"/>
  <c r="G113" i="14" s="1"/>
  <c r="D109" i="15" s="1"/>
  <c r="F112" i="14"/>
  <c r="G112" i="14" s="1"/>
  <c r="D108" i="15" s="1"/>
  <c r="F111" i="14"/>
  <c r="G111" i="14" s="1"/>
  <c r="D107" i="15" s="1"/>
  <c r="F110" i="14"/>
  <c r="G110" i="14" s="1"/>
  <c r="D106" i="15" s="1"/>
  <c r="F109" i="14"/>
  <c r="G109" i="14" s="1"/>
  <c r="D105" i="15" s="1"/>
  <c r="F108" i="14"/>
  <c r="G108" i="14" s="1"/>
  <c r="D104" i="15" s="1"/>
  <c r="F107" i="14"/>
  <c r="G107" i="14" s="1"/>
  <c r="D103" i="15" s="1"/>
  <c r="F106" i="14"/>
  <c r="G106" i="14" s="1"/>
  <c r="D102" i="15" s="1"/>
  <c r="F105" i="14"/>
  <c r="G105" i="14" s="1"/>
  <c r="D101" i="15" s="1"/>
  <c r="F104" i="14"/>
  <c r="G104" i="14" s="1"/>
  <c r="D100" i="15" s="1"/>
  <c r="F103" i="14"/>
  <c r="G103" i="14" s="1"/>
  <c r="D99" i="15" s="1"/>
  <c r="F102" i="14"/>
  <c r="G102" i="14" s="1"/>
  <c r="D98" i="15" s="1"/>
  <c r="F71" i="14"/>
  <c r="G71" i="14" s="1"/>
  <c r="D67" i="15" s="1"/>
  <c r="F70" i="14"/>
  <c r="G70" i="14" s="1"/>
  <c r="D66" i="15" s="1"/>
  <c r="F69" i="14"/>
  <c r="G69" i="14" s="1"/>
  <c r="D65" i="15" s="1"/>
  <c r="F68" i="14"/>
  <c r="G68" i="14" s="1"/>
  <c r="D64" i="15" s="1"/>
  <c r="F67" i="14"/>
  <c r="G67" i="14" s="1"/>
  <c r="D63" i="15" s="1"/>
  <c r="F66" i="14"/>
  <c r="G66" i="14" s="1"/>
  <c r="D62" i="15" s="1"/>
  <c r="F65" i="14"/>
  <c r="G65" i="14" s="1"/>
  <c r="D61" i="15" s="1"/>
  <c r="F64" i="14"/>
  <c r="G64" i="14" s="1"/>
  <c r="D60" i="15" s="1"/>
  <c r="F63" i="14"/>
  <c r="G63" i="14" s="1"/>
  <c r="D59" i="15" s="1"/>
  <c r="F62" i="14"/>
  <c r="G62" i="14" s="1"/>
  <c r="D58" i="15" s="1"/>
  <c r="F61" i="14"/>
  <c r="G61" i="14" s="1"/>
  <c r="D57" i="15" s="1"/>
  <c r="F60" i="14"/>
  <c r="G60" i="14" s="1"/>
  <c r="D56" i="15" s="1"/>
  <c r="F59" i="14"/>
  <c r="G59" i="14" s="1"/>
  <c r="D55" i="15" s="1"/>
  <c r="F58" i="14"/>
  <c r="G58" i="14" s="1"/>
  <c r="D54" i="15" s="1"/>
  <c r="F28" i="14"/>
  <c r="G28" i="14" s="1"/>
  <c r="D24" i="15" s="1"/>
  <c r="F29" i="14"/>
  <c r="G29" i="14" s="1"/>
  <c r="D25" i="15" s="1"/>
  <c r="F30" i="14"/>
  <c r="G30" i="14" s="1"/>
  <c r="D26" i="15" s="1"/>
  <c r="F31" i="14"/>
  <c r="G31" i="14" s="1"/>
  <c r="D27" i="15" s="1"/>
  <c r="F35" i="14"/>
  <c r="G35" i="14" s="1"/>
  <c r="D31" i="15" s="1"/>
  <c r="F39" i="14"/>
  <c r="G39" i="14" s="1"/>
  <c r="D35" i="15" s="1"/>
  <c r="F33" i="14"/>
  <c r="G33" i="14" s="1"/>
  <c r="D29" i="15" s="1"/>
  <c r="F37" i="14"/>
  <c r="G37" i="14" s="1"/>
  <c r="D33" i="15" s="1"/>
  <c r="F41" i="14"/>
  <c r="G41" i="14" s="1"/>
  <c r="D37" i="15" s="1"/>
  <c r="F56" i="13"/>
  <c r="G56" i="13" s="1"/>
  <c r="D772" i="15" s="1"/>
  <c r="F55" i="13"/>
  <c r="G55" i="13" s="1"/>
  <c r="D771" i="15" s="1"/>
  <c r="F54" i="13"/>
  <c r="G54" i="13" s="1"/>
  <c r="D770" i="15" s="1"/>
  <c r="F53" i="13"/>
  <c r="G53" i="13" s="1"/>
  <c r="D769" i="15" s="1"/>
  <c r="F52" i="13"/>
  <c r="G52" i="13" s="1"/>
  <c r="D768" i="15" s="1"/>
  <c r="F51" i="13"/>
  <c r="G51" i="13" s="1"/>
  <c r="D767" i="15" s="1"/>
  <c r="F50" i="13"/>
  <c r="G50" i="13" s="1"/>
  <c r="D766" i="15" s="1"/>
  <c r="F49" i="13"/>
  <c r="G49" i="13" s="1"/>
  <c r="D765" i="15" s="1"/>
  <c r="F48" i="13"/>
  <c r="G48" i="13" s="1"/>
  <c r="D764" i="15" s="1"/>
  <c r="F47" i="13"/>
  <c r="G47" i="13" s="1"/>
  <c r="D763" i="15" s="1"/>
  <c r="F46" i="13"/>
  <c r="G46" i="13" s="1"/>
  <c r="D762" i="15" s="1"/>
  <c r="F45" i="13"/>
  <c r="G45" i="13" s="1"/>
  <c r="D761" i="15" s="1"/>
  <c r="F44" i="13"/>
  <c r="G44" i="13" s="1"/>
  <c r="D760" i="15" s="1"/>
  <c r="F43" i="13"/>
  <c r="G43" i="13" s="1"/>
  <c r="D759" i="15" s="1"/>
  <c r="F161" i="13"/>
  <c r="G161" i="13" s="1"/>
  <c r="D877" i="15" s="1"/>
  <c r="F160" i="13"/>
  <c r="G160" i="13" s="1"/>
  <c r="D876" i="15" s="1"/>
  <c r="F159" i="13"/>
  <c r="G159" i="13" s="1"/>
  <c r="D875" i="15" s="1"/>
  <c r="F158" i="13"/>
  <c r="G158" i="13" s="1"/>
  <c r="D874" i="15" s="1"/>
  <c r="F157" i="13"/>
  <c r="G157" i="13" s="1"/>
  <c r="D873" i="15" s="1"/>
  <c r="F156" i="13"/>
  <c r="G156" i="13" s="1"/>
  <c r="D872" i="15" s="1"/>
  <c r="F155" i="13"/>
  <c r="G155" i="13" s="1"/>
  <c r="D871" i="15" s="1"/>
  <c r="F154" i="13"/>
  <c r="G154" i="13" s="1"/>
  <c r="D870" i="15" s="1"/>
  <c r="F153" i="13"/>
  <c r="G153" i="13" s="1"/>
  <c r="D869" i="15" s="1"/>
  <c r="F152" i="13"/>
  <c r="G152" i="13" s="1"/>
  <c r="D868" i="15" s="1"/>
  <c r="F151" i="13"/>
  <c r="G151" i="13" s="1"/>
  <c r="D867" i="15" s="1"/>
  <c r="F150" i="13"/>
  <c r="G150" i="13" s="1"/>
  <c r="D866" i="15" s="1"/>
  <c r="F149" i="13"/>
  <c r="G149" i="13" s="1"/>
  <c r="D865" i="15" s="1"/>
  <c r="F148" i="13"/>
  <c r="G148" i="13" s="1"/>
  <c r="D864" i="15" s="1"/>
  <c r="F147" i="13"/>
  <c r="G147" i="13" s="1"/>
  <c r="D863" i="15" s="1"/>
  <c r="F146" i="13"/>
  <c r="G146" i="13" s="1"/>
  <c r="D862" i="15" s="1"/>
  <c r="F145" i="13"/>
  <c r="G145" i="13" s="1"/>
  <c r="D861" i="15" s="1"/>
  <c r="F144" i="13"/>
  <c r="G144" i="13" s="1"/>
  <c r="D860" i="15" s="1"/>
  <c r="F143" i="13"/>
  <c r="G143" i="13" s="1"/>
  <c r="D859" i="15" s="1"/>
  <c r="F142" i="13"/>
  <c r="G142" i="13" s="1"/>
  <c r="D858" i="15" s="1"/>
  <c r="F141" i="13"/>
  <c r="G141" i="13" s="1"/>
  <c r="D857" i="15" s="1"/>
  <c r="F140" i="13"/>
  <c r="G140" i="13" s="1"/>
  <c r="D856" i="15" s="1"/>
  <c r="F139" i="13"/>
  <c r="G139" i="13" s="1"/>
  <c r="D855" i="15" s="1"/>
  <c r="F138" i="13"/>
  <c r="G138" i="13" s="1"/>
  <c r="D854" i="15" s="1"/>
  <c r="F137" i="13"/>
  <c r="G137" i="13" s="1"/>
  <c r="D853" i="15" s="1"/>
  <c r="F136" i="13"/>
  <c r="G136" i="13" s="1"/>
  <c r="D852" i="15" s="1"/>
  <c r="F135" i="13"/>
  <c r="G135" i="13" s="1"/>
  <c r="D851" i="15" s="1"/>
  <c r="F134" i="13"/>
  <c r="G134" i="13" s="1"/>
  <c r="D850" i="15" s="1"/>
  <c r="F133" i="13"/>
  <c r="G133" i="13" s="1"/>
  <c r="D849" i="15" s="1"/>
  <c r="F132" i="13"/>
  <c r="G132" i="13" s="1"/>
  <c r="D848" i="15" s="1"/>
  <c r="F131" i="13"/>
  <c r="G131" i="13" s="1"/>
  <c r="D847" i="15" s="1"/>
  <c r="F130" i="13"/>
  <c r="G130" i="13" s="1"/>
  <c r="D846" i="15" s="1"/>
  <c r="F129" i="13"/>
  <c r="G129" i="13" s="1"/>
  <c r="D845" i="15" s="1"/>
  <c r="F128" i="13"/>
  <c r="G128" i="13" s="1"/>
  <c r="D844" i="15" s="1"/>
  <c r="F127" i="13"/>
  <c r="G127" i="13" s="1"/>
  <c r="D843" i="15" s="1"/>
  <c r="F126" i="13"/>
  <c r="G126" i="13" s="1"/>
  <c r="D842" i="15" s="1"/>
  <c r="F125" i="13"/>
  <c r="G125" i="13" s="1"/>
  <c r="D841" i="15" s="1"/>
  <c r="F124" i="13"/>
  <c r="G124" i="13" s="1"/>
  <c r="D840" i="15" s="1"/>
  <c r="F123" i="13"/>
  <c r="G123" i="13" s="1"/>
  <c r="D839" i="15" s="1"/>
  <c r="F122" i="13"/>
  <c r="G122" i="13" s="1"/>
  <c r="D838" i="15" s="1"/>
  <c r="F121" i="13"/>
  <c r="G121" i="13" s="1"/>
  <c r="D837" i="15" s="1"/>
  <c r="F120" i="13"/>
  <c r="G120" i="13" s="1"/>
  <c r="D836" i="15" s="1"/>
  <c r="F119" i="13"/>
  <c r="G119" i="13" s="1"/>
  <c r="D835" i="15" s="1"/>
  <c r="F118" i="13"/>
  <c r="G118" i="13" s="1"/>
  <c r="D834" i="15" s="1"/>
  <c r="F117" i="13"/>
  <c r="G117" i="13" s="1"/>
  <c r="D833" i="15" s="1"/>
  <c r="F116" i="13"/>
  <c r="G116" i="13" s="1"/>
  <c r="D832" i="15" s="1"/>
  <c r="F115" i="13"/>
  <c r="G115" i="13" s="1"/>
  <c r="D831" i="15" s="1"/>
  <c r="F114" i="13"/>
  <c r="G114" i="13" s="1"/>
  <c r="D830" i="15" s="1"/>
  <c r="F113" i="13"/>
  <c r="G113" i="13" s="1"/>
  <c r="D829" i="15" s="1"/>
  <c r="F112" i="13"/>
  <c r="G112" i="13" s="1"/>
  <c r="D828" i="15" s="1"/>
  <c r="F111" i="13"/>
  <c r="G111" i="13" s="1"/>
  <c r="D827" i="15" s="1"/>
  <c r="F110" i="13"/>
  <c r="G110" i="13" s="1"/>
  <c r="D826" i="15" s="1"/>
  <c r="F109" i="13"/>
  <c r="G109" i="13" s="1"/>
  <c r="D825" i="15" s="1"/>
  <c r="F108" i="13"/>
  <c r="G108" i="13" s="1"/>
  <c r="D824" i="15" s="1"/>
  <c r="F107" i="13"/>
  <c r="G107" i="13" s="1"/>
  <c r="D823" i="15" s="1"/>
  <c r="F106" i="13"/>
  <c r="G106" i="13" s="1"/>
  <c r="D822" i="15" s="1"/>
  <c r="F105" i="13"/>
  <c r="G105" i="13" s="1"/>
  <c r="D821" i="15" s="1"/>
  <c r="F104" i="13"/>
  <c r="G104" i="13" s="1"/>
  <c r="D820" i="15" s="1"/>
  <c r="F103" i="13"/>
  <c r="G103" i="13" s="1"/>
  <c r="D819" i="15" s="1"/>
  <c r="F102" i="13"/>
  <c r="G102" i="13" s="1"/>
  <c r="D818" i="15" s="1"/>
  <c r="F71" i="13"/>
  <c r="G71" i="13" s="1"/>
  <c r="D787" i="15" s="1"/>
  <c r="F70" i="13"/>
  <c r="G70" i="13" s="1"/>
  <c r="D786" i="15" s="1"/>
  <c r="F69" i="13"/>
  <c r="G69" i="13" s="1"/>
  <c r="D785" i="15" s="1"/>
  <c r="F68" i="13"/>
  <c r="G68" i="13" s="1"/>
  <c r="D784" i="15" s="1"/>
  <c r="F67" i="13"/>
  <c r="G67" i="13" s="1"/>
  <c r="D783" i="15" s="1"/>
  <c r="F66" i="13"/>
  <c r="G66" i="13" s="1"/>
  <c r="D782" i="15" s="1"/>
  <c r="F65" i="13"/>
  <c r="G65" i="13" s="1"/>
  <c r="D781" i="15" s="1"/>
  <c r="F64" i="13"/>
  <c r="G64" i="13" s="1"/>
  <c r="D780" i="15" s="1"/>
  <c r="F63" i="13"/>
  <c r="G63" i="13" s="1"/>
  <c r="D779" i="15" s="1"/>
  <c r="F62" i="13"/>
  <c r="G62" i="13" s="1"/>
  <c r="D778" i="15" s="1"/>
  <c r="F61" i="13"/>
  <c r="G61" i="13" s="1"/>
  <c r="D777" i="15" s="1"/>
  <c r="F60" i="13"/>
  <c r="G60" i="13" s="1"/>
  <c r="D776" i="15" s="1"/>
  <c r="F59" i="13"/>
  <c r="G59" i="13" s="1"/>
  <c r="D775" i="15" s="1"/>
  <c r="F58" i="13"/>
  <c r="G58" i="13" s="1"/>
  <c r="D774" i="15" s="1"/>
  <c r="F28" i="13"/>
  <c r="G28" i="13" s="1"/>
  <c r="D744" i="15" s="1"/>
  <c r="F29" i="13"/>
  <c r="G29" i="13" s="1"/>
  <c r="D745" i="15" s="1"/>
  <c r="F30" i="13"/>
  <c r="G30" i="13" s="1"/>
  <c r="D746" i="15" s="1"/>
  <c r="F31" i="13"/>
  <c r="G31" i="13" s="1"/>
  <c r="D747" i="15" s="1"/>
  <c r="F35" i="13"/>
  <c r="G35" i="13" s="1"/>
  <c r="D751" i="15" s="1"/>
  <c r="F39" i="13"/>
  <c r="G39" i="13" s="1"/>
  <c r="D755" i="15" s="1"/>
  <c r="F33" i="13"/>
  <c r="G33" i="13" s="1"/>
  <c r="D749" i="15" s="1"/>
  <c r="F37" i="13"/>
  <c r="G37" i="13" s="1"/>
  <c r="D753" i="15" s="1"/>
  <c r="F41" i="13"/>
  <c r="G41" i="13" s="1"/>
  <c r="D757" i="15" s="1"/>
  <c r="F16" i="12"/>
  <c r="G16" i="12" s="1"/>
  <c r="D552" i="15" s="1"/>
  <c r="F20" i="12"/>
  <c r="G20" i="12" s="1"/>
  <c r="D556" i="15" s="1"/>
  <c r="F24" i="12"/>
  <c r="G24" i="12" s="1"/>
  <c r="D560" i="15" s="1"/>
  <c r="F32" i="12"/>
  <c r="G32" i="12" s="1"/>
  <c r="D568" i="15" s="1"/>
  <c r="F40" i="12"/>
  <c r="G40" i="12" s="1"/>
  <c r="D576" i="15" s="1"/>
  <c r="F15" i="12"/>
  <c r="G15" i="12" s="1"/>
  <c r="D551" i="15" s="1"/>
  <c r="F19" i="12"/>
  <c r="G19" i="12" s="1"/>
  <c r="D555" i="15" s="1"/>
  <c r="F23" i="12"/>
  <c r="G23" i="12" s="1"/>
  <c r="D559" i="15" s="1"/>
  <c r="F56" i="12"/>
  <c r="G56" i="12" s="1"/>
  <c r="D592" i="15" s="1"/>
  <c r="F55" i="12"/>
  <c r="G55" i="12" s="1"/>
  <c r="D591" i="15" s="1"/>
  <c r="F54" i="12"/>
  <c r="G54" i="12" s="1"/>
  <c r="D590" i="15" s="1"/>
  <c r="F53" i="12"/>
  <c r="G53" i="12" s="1"/>
  <c r="D589" i="15" s="1"/>
  <c r="F52" i="12"/>
  <c r="G52" i="12" s="1"/>
  <c r="D588" i="15" s="1"/>
  <c r="F51" i="12"/>
  <c r="G51" i="12" s="1"/>
  <c r="D587" i="15" s="1"/>
  <c r="F50" i="12"/>
  <c r="G50" i="12" s="1"/>
  <c r="D586" i="15" s="1"/>
  <c r="F49" i="12"/>
  <c r="G49" i="12" s="1"/>
  <c r="D585" i="15" s="1"/>
  <c r="F48" i="12"/>
  <c r="G48" i="12" s="1"/>
  <c r="D584" i="15" s="1"/>
  <c r="F47" i="12"/>
  <c r="G47" i="12" s="1"/>
  <c r="D583" i="15" s="1"/>
  <c r="F46" i="12"/>
  <c r="G46" i="12" s="1"/>
  <c r="D582" i="15" s="1"/>
  <c r="F45" i="12"/>
  <c r="G45" i="12" s="1"/>
  <c r="D581" i="15" s="1"/>
  <c r="F44" i="12"/>
  <c r="G44" i="12" s="1"/>
  <c r="D580" i="15" s="1"/>
  <c r="F43" i="12"/>
  <c r="G43" i="12" s="1"/>
  <c r="D579" i="15" s="1"/>
  <c r="F161" i="12"/>
  <c r="G161" i="12" s="1"/>
  <c r="D697" i="15" s="1"/>
  <c r="F160" i="12"/>
  <c r="G160" i="12" s="1"/>
  <c r="D696" i="15" s="1"/>
  <c r="F159" i="12"/>
  <c r="G159" i="12" s="1"/>
  <c r="D695" i="15" s="1"/>
  <c r="F158" i="12"/>
  <c r="G158" i="12" s="1"/>
  <c r="D694" i="15" s="1"/>
  <c r="F157" i="12"/>
  <c r="G157" i="12" s="1"/>
  <c r="D693" i="15" s="1"/>
  <c r="F156" i="12"/>
  <c r="G156" i="12" s="1"/>
  <c r="D692" i="15" s="1"/>
  <c r="F155" i="12"/>
  <c r="G155" i="12" s="1"/>
  <c r="D691" i="15" s="1"/>
  <c r="F154" i="12"/>
  <c r="G154" i="12" s="1"/>
  <c r="D690" i="15" s="1"/>
  <c r="F153" i="12"/>
  <c r="G153" i="12" s="1"/>
  <c r="D689" i="15" s="1"/>
  <c r="F152" i="12"/>
  <c r="G152" i="12" s="1"/>
  <c r="D688" i="15" s="1"/>
  <c r="F151" i="12"/>
  <c r="G151" i="12" s="1"/>
  <c r="D687" i="15" s="1"/>
  <c r="F150" i="12"/>
  <c r="G150" i="12" s="1"/>
  <c r="D686" i="15" s="1"/>
  <c r="F149" i="12"/>
  <c r="G149" i="12" s="1"/>
  <c r="D685" i="15" s="1"/>
  <c r="F148" i="12"/>
  <c r="G148" i="12" s="1"/>
  <c r="D684" i="15" s="1"/>
  <c r="F147" i="12"/>
  <c r="G147" i="12" s="1"/>
  <c r="D683" i="15" s="1"/>
  <c r="F146" i="12"/>
  <c r="G146" i="12" s="1"/>
  <c r="D682" i="15" s="1"/>
  <c r="F145" i="12"/>
  <c r="G145" i="12" s="1"/>
  <c r="D681" i="15" s="1"/>
  <c r="F144" i="12"/>
  <c r="G144" i="12" s="1"/>
  <c r="D680" i="15" s="1"/>
  <c r="F143" i="12"/>
  <c r="G143" i="12" s="1"/>
  <c r="D679" i="15" s="1"/>
  <c r="F142" i="12"/>
  <c r="G142" i="12" s="1"/>
  <c r="D678" i="15" s="1"/>
  <c r="F141" i="12"/>
  <c r="G141" i="12" s="1"/>
  <c r="D677" i="15" s="1"/>
  <c r="F140" i="12"/>
  <c r="G140" i="12" s="1"/>
  <c r="D676" i="15" s="1"/>
  <c r="F139" i="12"/>
  <c r="G139" i="12" s="1"/>
  <c r="D675" i="15" s="1"/>
  <c r="F138" i="12"/>
  <c r="G138" i="12" s="1"/>
  <c r="D674" i="15" s="1"/>
  <c r="F137" i="12"/>
  <c r="G137" i="12" s="1"/>
  <c r="D673" i="15" s="1"/>
  <c r="F136" i="12"/>
  <c r="G136" i="12" s="1"/>
  <c r="D672" i="15" s="1"/>
  <c r="F135" i="12"/>
  <c r="G135" i="12" s="1"/>
  <c r="D671" i="15" s="1"/>
  <c r="F134" i="12"/>
  <c r="G134" i="12" s="1"/>
  <c r="D670" i="15" s="1"/>
  <c r="F133" i="12"/>
  <c r="G133" i="12" s="1"/>
  <c r="D669" i="15" s="1"/>
  <c r="F132" i="12"/>
  <c r="G132" i="12" s="1"/>
  <c r="D668" i="15" s="1"/>
  <c r="F131" i="12"/>
  <c r="G131" i="12" s="1"/>
  <c r="D667" i="15" s="1"/>
  <c r="F130" i="12"/>
  <c r="G130" i="12" s="1"/>
  <c r="D666" i="15" s="1"/>
  <c r="F129" i="12"/>
  <c r="G129" i="12" s="1"/>
  <c r="D665" i="15" s="1"/>
  <c r="F128" i="12"/>
  <c r="G128" i="12" s="1"/>
  <c r="D664" i="15" s="1"/>
  <c r="F127" i="12"/>
  <c r="G127" i="12" s="1"/>
  <c r="D663" i="15" s="1"/>
  <c r="F126" i="12"/>
  <c r="G126" i="12" s="1"/>
  <c r="D662" i="15" s="1"/>
  <c r="F125" i="12"/>
  <c r="G125" i="12" s="1"/>
  <c r="D661" i="15" s="1"/>
  <c r="F124" i="12"/>
  <c r="G124" i="12" s="1"/>
  <c r="D660" i="15" s="1"/>
  <c r="F123" i="12"/>
  <c r="G123" i="12" s="1"/>
  <c r="D659" i="15" s="1"/>
  <c r="F122" i="12"/>
  <c r="G122" i="12" s="1"/>
  <c r="D658" i="15" s="1"/>
  <c r="F121" i="12"/>
  <c r="G121" i="12" s="1"/>
  <c r="D657" i="15" s="1"/>
  <c r="F120" i="12"/>
  <c r="G120" i="12" s="1"/>
  <c r="D656" i="15" s="1"/>
  <c r="F119" i="12"/>
  <c r="G119" i="12" s="1"/>
  <c r="D655" i="15" s="1"/>
  <c r="F118" i="12"/>
  <c r="G118" i="12" s="1"/>
  <c r="D654" i="15" s="1"/>
  <c r="F117" i="12"/>
  <c r="G117" i="12" s="1"/>
  <c r="D653" i="15" s="1"/>
  <c r="F116" i="12"/>
  <c r="G116" i="12" s="1"/>
  <c r="D652" i="15" s="1"/>
  <c r="F115" i="12"/>
  <c r="G115" i="12" s="1"/>
  <c r="D651" i="15" s="1"/>
  <c r="F114" i="12"/>
  <c r="G114" i="12" s="1"/>
  <c r="D650" i="15" s="1"/>
  <c r="F113" i="12"/>
  <c r="G113" i="12" s="1"/>
  <c r="D649" i="15" s="1"/>
  <c r="F112" i="12"/>
  <c r="G112" i="12" s="1"/>
  <c r="D648" i="15" s="1"/>
  <c r="F111" i="12"/>
  <c r="G111" i="12" s="1"/>
  <c r="D647" i="15" s="1"/>
  <c r="F110" i="12"/>
  <c r="G110" i="12" s="1"/>
  <c r="D646" i="15" s="1"/>
  <c r="F109" i="12"/>
  <c r="G109" i="12" s="1"/>
  <c r="D645" i="15" s="1"/>
  <c r="F108" i="12"/>
  <c r="G108" i="12" s="1"/>
  <c r="D644" i="15" s="1"/>
  <c r="F107" i="12"/>
  <c r="G107" i="12" s="1"/>
  <c r="D643" i="15" s="1"/>
  <c r="F106" i="12"/>
  <c r="G106" i="12" s="1"/>
  <c r="D642" i="15" s="1"/>
  <c r="F105" i="12"/>
  <c r="G105" i="12" s="1"/>
  <c r="D641" i="15" s="1"/>
  <c r="F104" i="12"/>
  <c r="G104" i="12" s="1"/>
  <c r="D640" i="15" s="1"/>
  <c r="F103" i="12"/>
  <c r="G103" i="12" s="1"/>
  <c r="D639" i="15" s="1"/>
  <c r="F102" i="12"/>
  <c r="G102" i="12" s="1"/>
  <c r="D638" i="15" s="1"/>
  <c r="F71" i="12"/>
  <c r="G71" i="12" s="1"/>
  <c r="D607" i="15" s="1"/>
  <c r="F70" i="12"/>
  <c r="G70" i="12" s="1"/>
  <c r="D606" i="15" s="1"/>
  <c r="F69" i="12"/>
  <c r="G69" i="12" s="1"/>
  <c r="D605" i="15" s="1"/>
  <c r="F68" i="12"/>
  <c r="G68" i="12" s="1"/>
  <c r="D604" i="15" s="1"/>
  <c r="F67" i="12"/>
  <c r="G67" i="12" s="1"/>
  <c r="D603" i="15" s="1"/>
  <c r="F66" i="12"/>
  <c r="G66" i="12" s="1"/>
  <c r="D602" i="15" s="1"/>
  <c r="F65" i="12"/>
  <c r="G65" i="12" s="1"/>
  <c r="D601" i="15" s="1"/>
  <c r="F64" i="12"/>
  <c r="G64" i="12" s="1"/>
  <c r="D600" i="15" s="1"/>
  <c r="F63" i="12"/>
  <c r="G63" i="12" s="1"/>
  <c r="D599" i="15" s="1"/>
  <c r="F62" i="12"/>
  <c r="G62" i="12" s="1"/>
  <c r="D598" i="15" s="1"/>
  <c r="F61" i="12"/>
  <c r="G61" i="12" s="1"/>
  <c r="D597" i="15" s="1"/>
  <c r="F60" i="12"/>
  <c r="G60" i="12" s="1"/>
  <c r="D596" i="15" s="1"/>
  <c r="F59" i="12"/>
  <c r="G59" i="12" s="1"/>
  <c r="D595" i="15" s="1"/>
  <c r="F58" i="12"/>
  <c r="G58" i="12" s="1"/>
  <c r="D594" i="15" s="1"/>
  <c r="F28" i="12"/>
  <c r="G28" i="12" s="1"/>
  <c r="D564" i="15" s="1"/>
  <c r="F29" i="12"/>
  <c r="G29" i="12" s="1"/>
  <c r="D565" i="15" s="1"/>
  <c r="F30" i="12"/>
  <c r="G30" i="12" s="1"/>
  <c r="D566" i="15" s="1"/>
  <c r="F31" i="12"/>
  <c r="G31" i="12" s="1"/>
  <c r="D567" i="15" s="1"/>
  <c r="F35" i="12"/>
  <c r="G35" i="12" s="1"/>
  <c r="D571" i="15" s="1"/>
  <c r="F39" i="12"/>
  <c r="G39" i="12" s="1"/>
  <c r="D575" i="15" s="1"/>
  <c r="F33" i="12"/>
  <c r="G33" i="12" s="1"/>
  <c r="D569" i="15" s="1"/>
  <c r="F37" i="12"/>
  <c r="G37" i="12" s="1"/>
  <c r="D573" i="15" s="1"/>
  <c r="F41" i="12"/>
  <c r="G41" i="12" s="1"/>
  <c r="D577" i="15" s="1"/>
  <c r="F33" i="11"/>
  <c r="G33" i="11" s="1"/>
  <c r="D389" i="15" s="1"/>
  <c r="F37" i="11"/>
  <c r="G37" i="11" s="1"/>
  <c r="D393" i="15" s="1"/>
  <c r="F161" i="11"/>
  <c r="G161" i="11" s="1"/>
  <c r="D517" i="15" s="1"/>
  <c r="F160" i="11"/>
  <c r="G160" i="11" s="1"/>
  <c r="D516" i="15" s="1"/>
  <c r="F159" i="11"/>
  <c r="G159" i="11" s="1"/>
  <c r="D515" i="15" s="1"/>
  <c r="F158" i="11"/>
  <c r="G158" i="11" s="1"/>
  <c r="D514" i="15" s="1"/>
  <c r="F157" i="11"/>
  <c r="G157" i="11" s="1"/>
  <c r="D513" i="15" s="1"/>
  <c r="F156" i="11"/>
  <c r="G156" i="11" s="1"/>
  <c r="D512" i="15" s="1"/>
  <c r="F155" i="11"/>
  <c r="G155" i="11" s="1"/>
  <c r="D511" i="15" s="1"/>
  <c r="F154" i="11"/>
  <c r="G154" i="11" s="1"/>
  <c r="D510" i="15" s="1"/>
  <c r="F153" i="11"/>
  <c r="G153" i="11" s="1"/>
  <c r="D509" i="15" s="1"/>
  <c r="F152" i="11"/>
  <c r="G152" i="11" s="1"/>
  <c r="D508" i="15" s="1"/>
  <c r="F151" i="11"/>
  <c r="G151" i="11" s="1"/>
  <c r="D507" i="15" s="1"/>
  <c r="F150" i="11"/>
  <c r="G150" i="11" s="1"/>
  <c r="D506" i="15" s="1"/>
  <c r="F149" i="11"/>
  <c r="G149" i="11" s="1"/>
  <c r="D505" i="15" s="1"/>
  <c r="F148" i="11"/>
  <c r="G148" i="11" s="1"/>
  <c r="D504" i="15" s="1"/>
  <c r="F147" i="11"/>
  <c r="G147" i="11" s="1"/>
  <c r="D503" i="15" s="1"/>
  <c r="F146" i="11"/>
  <c r="G146" i="11" s="1"/>
  <c r="D502" i="15" s="1"/>
  <c r="F145" i="11"/>
  <c r="G145" i="11" s="1"/>
  <c r="D501" i="15" s="1"/>
  <c r="F144" i="11"/>
  <c r="G144" i="11" s="1"/>
  <c r="D500" i="15" s="1"/>
  <c r="F143" i="11"/>
  <c r="G143" i="11" s="1"/>
  <c r="D499" i="15" s="1"/>
  <c r="F142" i="11"/>
  <c r="G142" i="11" s="1"/>
  <c r="D498" i="15" s="1"/>
  <c r="F141" i="11"/>
  <c r="G141" i="11" s="1"/>
  <c r="D497" i="15" s="1"/>
  <c r="F140" i="11"/>
  <c r="G140" i="11" s="1"/>
  <c r="D496" i="15" s="1"/>
  <c r="F139" i="11"/>
  <c r="G139" i="11" s="1"/>
  <c r="D495" i="15" s="1"/>
  <c r="F138" i="11"/>
  <c r="G138" i="11" s="1"/>
  <c r="D494" i="15" s="1"/>
  <c r="F137" i="11"/>
  <c r="G137" i="11" s="1"/>
  <c r="D493" i="15" s="1"/>
  <c r="F136" i="11"/>
  <c r="G136" i="11" s="1"/>
  <c r="D492" i="15" s="1"/>
  <c r="F135" i="11"/>
  <c r="G135" i="11" s="1"/>
  <c r="D491" i="15" s="1"/>
  <c r="F134" i="11"/>
  <c r="G134" i="11" s="1"/>
  <c r="D490" i="15" s="1"/>
  <c r="F133" i="11"/>
  <c r="G133" i="11" s="1"/>
  <c r="D489" i="15" s="1"/>
  <c r="F132" i="11"/>
  <c r="G132" i="11" s="1"/>
  <c r="D488" i="15" s="1"/>
  <c r="F131" i="11"/>
  <c r="G131" i="11" s="1"/>
  <c r="D487" i="15" s="1"/>
  <c r="F130" i="11"/>
  <c r="G130" i="11" s="1"/>
  <c r="D486" i="15" s="1"/>
  <c r="F129" i="11"/>
  <c r="G129" i="11" s="1"/>
  <c r="D485" i="15" s="1"/>
  <c r="F128" i="11"/>
  <c r="G128" i="11" s="1"/>
  <c r="D484" i="15" s="1"/>
  <c r="F127" i="11"/>
  <c r="G127" i="11" s="1"/>
  <c r="D483" i="15" s="1"/>
  <c r="F126" i="11"/>
  <c r="G126" i="11" s="1"/>
  <c r="D482" i="15" s="1"/>
  <c r="F125" i="11"/>
  <c r="G125" i="11" s="1"/>
  <c r="D481" i="15" s="1"/>
  <c r="F124" i="11"/>
  <c r="G124" i="11" s="1"/>
  <c r="D480" i="15" s="1"/>
  <c r="F123" i="11"/>
  <c r="G123" i="11" s="1"/>
  <c r="D479" i="15" s="1"/>
  <c r="F122" i="11"/>
  <c r="G122" i="11" s="1"/>
  <c r="D478" i="15" s="1"/>
  <c r="F121" i="11"/>
  <c r="G121" i="11" s="1"/>
  <c r="D477" i="15" s="1"/>
  <c r="F120" i="11"/>
  <c r="G120" i="11" s="1"/>
  <c r="D476" i="15" s="1"/>
  <c r="F119" i="11"/>
  <c r="G119" i="11" s="1"/>
  <c r="D475" i="15" s="1"/>
  <c r="F118" i="11"/>
  <c r="G118" i="11" s="1"/>
  <c r="D474" i="15" s="1"/>
  <c r="F117" i="11"/>
  <c r="G117" i="11" s="1"/>
  <c r="D473" i="15" s="1"/>
  <c r="F116" i="11"/>
  <c r="G116" i="11" s="1"/>
  <c r="D472" i="15" s="1"/>
  <c r="F115" i="11"/>
  <c r="G115" i="11" s="1"/>
  <c r="D471" i="15" s="1"/>
  <c r="F114" i="11"/>
  <c r="G114" i="11" s="1"/>
  <c r="D470" i="15" s="1"/>
  <c r="F113" i="11"/>
  <c r="G113" i="11" s="1"/>
  <c r="D469" i="15" s="1"/>
  <c r="F112" i="11"/>
  <c r="G112" i="11" s="1"/>
  <c r="D468" i="15" s="1"/>
  <c r="F111" i="11"/>
  <c r="G111" i="11" s="1"/>
  <c r="D467" i="15" s="1"/>
  <c r="F110" i="11"/>
  <c r="G110" i="11" s="1"/>
  <c r="D466" i="15" s="1"/>
  <c r="F109" i="11"/>
  <c r="G109" i="11" s="1"/>
  <c r="D465" i="15" s="1"/>
  <c r="F108" i="11"/>
  <c r="G108" i="11" s="1"/>
  <c r="D464" i="15" s="1"/>
  <c r="F107" i="11"/>
  <c r="G107" i="11" s="1"/>
  <c r="D463" i="15" s="1"/>
  <c r="F106" i="11"/>
  <c r="G106" i="11" s="1"/>
  <c r="D462" i="15" s="1"/>
  <c r="F105" i="11"/>
  <c r="G105" i="11" s="1"/>
  <c r="D461" i="15" s="1"/>
  <c r="F104" i="11"/>
  <c r="G104" i="11" s="1"/>
  <c r="D460" i="15" s="1"/>
  <c r="F103" i="11"/>
  <c r="G103" i="11" s="1"/>
  <c r="D459" i="15" s="1"/>
  <c r="F102" i="11"/>
  <c r="G102" i="11" s="1"/>
  <c r="D458" i="15" s="1"/>
  <c r="F71" i="11"/>
  <c r="G71" i="11" s="1"/>
  <c r="D427" i="15" s="1"/>
  <c r="F70" i="11"/>
  <c r="G70" i="11" s="1"/>
  <c r="D426" i="15" s="1"/>
  <c r="F69" i="11"/>
  <c r="G69" i="11" s="1"/>
  <c r="D425" i="15" s="1"/>
  <c r="F68" i="11"/>
  <c r="G68" i="11" s="1"/>
  <c r="D424" i="15" s="1"/>
  <c r="F67" i="11"/>
  <c r="G67" i="11" s="1"/>
  <c r="D423" i="15" s="1"/>
  <c r="F66" i="11"/>
  <c r="G66" i="11" s="1"/>
  <c r="D422" i="15" s="1"/>
  <c r="F65" i="11"/>
  <c r="G65" i="11" s="1"/>
  <c r="D421" i="15" s="1"/>
  <c r="F64" i="11"/>
  <c r="G64" i="11" s="1"/>
  <c r="D420" i="15" s="1"/>
  <c r="F63" i="11"/>
  <c r="G63" i="11" s="1"/>
  <c r="D419" i="15" s="1"/>
  <c r="F62" i="11"/>
  <c r="G62" i="11" s="1"/>
  <c r="D418" i="15" s="1"/>
  <c r="F61" i="11"/>
  <c r="G61" i="11" s="1"/>
  <c r="D417" i="15" s="1"/>
  <c r="F60" i="11"/>
  <c r="G60" i="11" s="1"/>
  <c r="D416" i="15" s="1"/>
  <c r="F59" i="11"/>
  <c r="G59" i="11" s="1"/>
  <c r="D415" i="15" s="1"/>
  <c r="F58" i="11"/>
  <c r="G58" i="11" s="1"/>
  <c r="D414" i="15" s="1"/>
  <c r="F28" i="11"/>
  <c r="G28" i="11" s="1"/>
  <c r="D384" i="15" s="1"/>
  <c r="F29" i="11"/>
  <c r="G29" i="11" s="1"/>
  <c r="D385" i="15" s="1"/>
  <c r="F30" i="11"/>
  <c r="G30" i="11" s="1"/>
  <c r="D386" i="15" s="1"/>
  <c r="F31" i="11"/>
  <c r="G31" i="11" s="1"/>
  <c r="D387" i="15" s="1"/>
  <c r="F35" i="11"/>
  <c r="G35" i="11" s="1"/>
  <c r="D391" i="15" s="1"/>
  <c r="F39" i="11"/>
  <c r="G39" i="11" s="1"/>
  <c r="D395" i="15" s="1"/>
  <c r="F43" i="11"/>
  <c r="G43" i="11" s="1"/>
  <c r="D399" i="15" s="1"/>
  <c r="F44" i="11"/>
  <c r="G44" i="11" s="1"/>
  <c r="D400" i="15" s="1"/>
  <c r="F45" i="11"/>
  <c r="G45" i="11" s="1"/>
  <c r="D401" i="15" s="1"/>
  <c r="F46" i="11"/>
  <c r="G46" i="11" s="1"/>
  <c r="D402" i="15" s="1"/>
  <c r="F47" i="11"/>
  <c r="G47" i="11" s="1"/>
  <c r="D403" i="15" s="1"/>
  <c r="F48" i="11"/>
  <c r="G48" i="11" s="1"/>
  <c r="D404" i="15" s="1"/>
  <c r="F49" i="11"/>
  <c r="G49" i="11" s="1"/>
  <c r="D405" i="15" s="1"/>
  <c r="F50" i="11"/>
  <c r="G50" i="11" s="1"/>
  <c r="D406" i="15" s="1"/>
  <c r="F51" i="11"/>
  <c r="G51" i="11" s="1"/>
  <c r="D407" i="15" s="1"/>
  <c r="F52" i="11"/>
  <c r="G52" i="11" s="1"/>
  <c r="D408" i="15" s="1"/>
  <c r="F53" i="11"/>
  <c r="G53" i="11" s="1"/>
  <c r="D409" i="15" s="1"/>
  <c r="F54" i="11"/>
  <c r="G54" i="11" s="1"/>
  <c r="D410" i="15" s="1"/>
  <c r="F55" i="11"/>
  <c r="G55" i="11" s="1"/>
  <c r="D411" i="15" s="1"/>
  <c r="F56" i="11"/>
  <c r="G56" i="11" s="1"/>
  <c r="D412" i="15" s="1"/>
  <c r="F36" i="10"/>
  <c r="G36" i="10" s="1"/>
  <c r="D212" i="15" s="1"/>
  <c r="F32" i="10"/>
  <c r="G32" i="10" s="1"/>
  <c r="D208" i="15" s="1"/>
  <c r="F28" i="10"/>
  <c r="G28" i="10" s="1"/>
  <c r="D204" i="15" s="1"/>
  <c r="F24" i="10"/>
  <c r="G24" i="10" s="1"/>
  <c r="D200" i="15" s="1"/>
  <c r="F20" i="10"/>
  <c r="G20" i="10" s="1"/>
  <c r="D196" i="15" s="1"/>
  <c r="F16" i="10"/>
  <c r="G16" i="10" s="1"/>
  <c r="D192" i="15" s="1"/>
  <c r="F67" i="10"/>
  <c r="G67" i="10" s="1"/>
  <c r="D243" i="15" s="1"/>
  <c r="F63" i="10"/>
  <c r="G63" i="10" s="1"/>
  <c r="D239" i="15" s="1"/>
  <c r="F59" i="10"/>
  <c r="G59" i="10" s="1"/>
  <c r="D235" i="15" s="1"/>
  <c r="F54" i="10"/>
  <c r="G54" i="10" s="1"/>
  <c r="D230" i="15" s="1"/>
  <c r="F50" i="10"/>
  <c r="G50" i="10" s="1"/>
  <c r="D226" i="15" s="1"/>
  <c r="F46" i="10"/>
  <c r="G46" i="10" s="1"/>
  <c r="D222" i="15" s="1"/>
  <c r="F128" i="10"/>
  <c r="G128" i="10" s="1"/>
  <c r="D304" i="15" s="1"/>
  <c r="F124" i="10"/>
  <c r="G124" i="10" s="1"/>
  <c r="D300" i="15" s="1"/>
  <c r="F120" i="10"/>
  <c r="G120" i="10" s="1"/>
  <c r="D296" i="15" s="1"/>
  <c r="F116" i="10"/>
  <c r="G116" i="10" s="1"/>
  <c r="D292" i="15" s="1"/>
  <c r="F112" i="10"/>
  <c r="G112" i="10" s="1"/>
  <c r="D288" i="15" s="1"/>
  <c r="F108" i="10"/>
  <c r="G108" i="10" s="1"/>
  <c r="D284" i="15" s="1"/>
  <c r="F104" i="10"/>
  <c r="G104" i="10" s="1"/>
  <c r="D280" i="15" s="1"/>
  <c r="F69" i="10"/>
  <c r="G69" i="10" s="1"/>
  <c r="D245" i="15" s="1"/>
  <c r="F159" i="10"/>
  <c r="G159" i="10" s="1"/>
  <c r="D335" i="15" s="1"/>
  <c r="F155" i="10"/>
  <c r="G155" i="10" s="1"/>
  <c r="D331" i="15" s="1"/>
  <c r="F151" i="10"/>
  <c r="G151" i="10" s="1"/>
  <c r="D327" i="15" s="1"/>
  <c r="F147" i="10"/>
  <c r="G147" i="10" s="1"/>
  <c r="D323" i="15" s="1"/>
  <c r="F143" i="10"/>
  <c r="G143" i="10" s="1"/>
  <c r="D319" i="15" s="1"/>
  <c r="F139" i="10"/>
  <c r="G139" i="10" s="1"/>
  <c r="D315" i="15" s="1"/>
  <c r="F135" i="10"/>
  <c r="G135" i="10" s="1"/>
  <c r="D311" i="15" s="1"/>
  <c r="F131" i="10"/>
  <c r="G131" i="10" s="1"/>
  <c r="D307" i="15" s="1"/>
  <c r="F39" i="10"/>
  <c r="G39" i="10" s="1"/>
  <c r="D215" i="15" s="1"/>
  <c r="F35" i="10"/>
  <c r="G35" i="10" s="1"/>
  <c r="D211" i="15" s="1"/>
  <c r="F31" i="10"/>
  <c r="G31" i="10" s="1"/>
  <c r="D207" i="15" s="1"/>
  <c r="F23" i="10"/>
  <c r="G23" i="10" s="1"/>
  <c r="D199" i="15" s="1"/>
  <c r="F19" i="10"/>
  <c r="G19" i="10" s="1"/>
  <c r="D195" i="15" s="1"/>
  <c r="F15" i="10"/>
  <c r="G15" i="10" s="1"/>
  <c r="D191" i="15" s="1"/>
  <c r="F66" i="10"/>
  <c r="G66" i="10" s="1"/>
  <c r="D242" i="15" s="1"/>
  <c r="F62" i="10"/>
  <c r="G62" i="10" s="1"/>
  <c r="D238" i="15" s="1"/>
  <c r="F58" i="10"/>
  <c r="G58" i="10" s="1"/>
  <c r="D234" i="15" s="1"/>
  <c r="F53" i="10"/>
  <c r="G53" i="10" s="1"/>
  <c r="D229" i="15" s="1"/>
  <c r="F49" i="10"/>
  <c r="G49" i="10" s="1"/>
  <c r="D225" i="15" s="1"/>
  <c r="F45" i="10"/>
  <c r="G45" i="10" s="1"/>
  <c r="D221" i="15" s="1"/>
  <c r="F41" i="10"/>
  <c r="G41" i="10" s="1"/>
  <c r="D217" i="15" s="1"/>
  <c r="F127" i="10"/>
  <c r="G127" i="10" s="1"/>
  <c r="D303" i="15" s="1"/>
  <c r="F123" i="10"/>
  <c r="G123" i="10" s="1"/>
  <c r="D299" i="15" s="1"/>
  <c r="F119" i="10"/>
  <c r="G119" i="10" s="1"/>
  <c r="D295" i="15" s="1"/>
  <c r="F115" i="10"/>
  <c r="G115" i="10" s="1"/>
  <c r="D291" i="15" s="1"/>
  <c r="F111" i="10"/>
  <c r="G111" i="10" s="1"/>
  <c r="D287" i="15" s="1"/>
  <c r="F107" i="10"/>
  <c r="G107" i="10" s="1"/>
  <c r="D283" i="15" s="1"/>
  <c r="F103" i="10"/>
  <c r="G103" i="10" s="1"/>
  <c r="D279" i="15" s="1"/>
  <c r="F68" i="10"/>
  <c r="G68" i="10" s="1"/>
  <c r="D244" i="15" s="1"/>
  <c r="F158" i="10"/>
  <c r="G158" i="10" s="1"/>
  <c r="D334" i="15" s="1"/>
  <c r="F154" i="10"/>
  <c r="G154" i="10" s="1"/>
  <c r="D330" i="15" s="1"/>
  <c r="F150" i="10"/>
  <c r="G150" i="10" s="1"/>
  <c r="D326" i="15" s="1"/>
  <c r="F146" i="10"/>
  <c r="G146" i="10" s="1"/>
  <c r="D322" i="15" s="1"/>
  <c r="F142" i="10"/>
  <c r="G142" i="10" s="1"/>
  <c r="D318" i="15" s="1"/>
  <c r="F138" i="10"/>
  <c r="G138" i="10" s="1"/>
  <c r="D314" i="15" s="1"/>
  <c r="F134" i="10"/>
  <c r="G134" i="10" s="1"/>
  <c r="D310" i="15" s="1"/>
  <c r="F130" i="10"/>
  <c r="G130" i="10" s="1"/>
  <c r="D306" i="15" s="1"/>
  <c r="F38" i="10"/>
  <c r="G38" i="10" s="1"/>
  <c r="D214" i="15" s="1"/>
  <c r="F34" i="10"/>
  <c r="G34" i="10" s="1"/>
  <c r="D210" i="15" s="1"/>
  <c r="F30" i="10"/>
  <c r="G30" i="10" s="1"/>
  <c r="D206" i="15" s="1"/>
  <c r="F26" i="10"/>
  <c r="G26" i="10" s="1"/>
  <c r="D202" i="15" s="1"/>
  <c r="F22" i="10"/>
  <c r="G22" i="10" s="1"/>
  <c r="D198" i="15" s="1"/>
  <c r="F18" i="10"/>
  <c r="G18" i="10" s="1"/>
  <c r="D194" i="15" s="1"/>
  <c r="F14" i="10"/>
  <c r="G14" i="10" s="1"/>
  <c r="D190" i="15" s="1"/>
  <c r="F65" i="10"/>
  <c r="G65" i="10" s="1"/>
  <c r="D241" i="15" s="1"/>
  <c r="F61" i="10"/>
  <c r="G61" i="10" s="1"/>
  <c r="D237" i="15" s="1"/>
  <c r="F56" i="10"/>
  <c r="G56" i="10" s="1"/>
  <c r="D232" i="15" s="1"/>
  <c r="F52" i="10"/>
  <c r="G52" i="10" s="1"/>
  <c r="D228" i="15" s="1"/>
  <c r="F48" i="10"/>
  <c r="G48" i="10" s="1"/>
  <c r="D224" i="15" s="1"/>
  <c r="F44" i="10"/>
  <c r="G44" i="10" s="1"/>
  <c r="D220" i="15" s="1"/>
  <c r="F40" i="10"/>
  <c r="G40" i="10" s="1"/>
  <c r="D216" i="15" s="1"/>
  <c r="F126" i="10"/>
  <c r="G126" i="10" s="1"/>
  <c r="D302" i="15" s="1"/>
  <c r="F122" i="10"/>
  <c r="G122" i="10" s="1"/>
  <c r="D298" i="15" s="1"/>
  <c r="F118" i="10"/>
  <c r="G118" i="10" s="1"/>
  <c r="D294" i="15" s="1"/>
  <c r="F114" i="10"/>
  <c r="G114" i="10" s="1"/>
  <c r="D290" i="15" s="1"/>
  <c r="F110" i="10"/>
  <c r="G110" i="10" s="1"/>
  <c r="D286" i="15" s="1"/>
  <c r="F106" i="10"/>
  <c r="G106" i="10" s="1"/>
  <c r="D282" i="15" s="1"/>
  <c r="F71" i="10"/>
  <c r="G71" i="10" s="1"/>
  <c r="D247" i="15" s="1"/>
  <c r="F161" i="10"/>
  <c r="G161" i="10" s="1"/>
  <c r="D337" i="15" s="1"/>
  <c r="F157" i="10"/>
  <c r="G157" i="10" s="1"/>
  <c r="D333" i="15" s="1"/>
  <c r="F153" i="10"/>
  <c r="G153" i="10" s="1"/>
  <c r="D329" i="15" s="1"/>
  <c r="F149" i="10"/>
  <c r="G149" i="10" s="1"/>
  <c r="D325" i="15" s="1"/>
  <c r="F145" i="10"/>
  <c r="G145" i="10" s="1"/>
  <c r="D321" i="15" s="1"/>
  <c r="F141" i="10"/>
  <c r="G141" i="10" s="1"/>
  <c r="D317" i="15" s="1"/>
  <c r="F137" i="10"/>
  <c r="G137" i="10" s="1"/>
  <c r="D313" i="15" s="1"/>
  <c r="F133" i="10"/>
  <c r="G133" i="10" s="1"/>
  <c r="D309" i="15" s="1"/>
  <c r="F102" i="10"/>
  <c r="G102" i="10" s="1"/>
  <c r="D278" i="15" s="1"/>
  <c r="F37" i="10"/>
  <c r="G37" i="10" s="1"/>
  <c r="D213" i="15" s="1"/>
  <c r="F33" i="10"/>
  <c r="G33" i="10" s="1"/>
  <c r="D209" i="15" s="1"/>
  <c r="F29" i="10"/>
  <c r="G29" i="10" s="1"/>
  <c r="D205" i="15" s="1"/>
  <c r="F25" i="10"/>
  <c r="G25" i="10" s="1"/>
  <c r="D201" i="15" s="1"/>
  <c r="F21" i="10"/>
  <c r="G21" i="10" s="1"/>
  <c r="D197" i="15" s="1"/>
  <c r="F17" i="10"/>
  <c r="G17" i="10" s="1"/>
  <c r="D193" i="15" s="1"/>
  <c r="F13" i="10"/>
  <c r="G13" i="10" s="1"/>
  <c r="D189" i="15" s="1"/>
  <c r="F64" i="10"/>
  <c r="G64" i="10" s="1"/>
  <c r="D240" i="15" s="1"/>
  <c r="F60" i="10"/>
  <c r="G60" i="10" s="1"/>
  <c r="D236" i="15" s="1"/>
  <c r="F55" i="10"/>
  <c r="G55" i="10" s="1"/>
  <c r="D231" i="15" s="1"/>
  <c r="F51" i="10"/>
  <c r="G51" i="10" s="1"/>
  <c r="D227" i="15" s="1"/>
  <c r="F47" i="10"/>
  <c r="G47" i="10" s="1"/>
  <c r="D223" i="15" s="1"/>
  <c r="F43" i="10"/>
  <c r="G43" i="10" s="1"/>
  <c r="D219" i="15" s="1"/>
  <c r="F129" i="10"/>
  <c r="G129" i="10" s="1"/>
  <c r="D305" i="15" s="1"/>
  <c r="F125" i="10"/>
  <c r="G125" i="10" s="1"/>
  <c r="D301" i="15" s="1"/>
  <c r="F121" i="10"/>
  <c r="G121" i="10" s="1"/>
  <c r="D297" i="15" s="1"/>
  <c r="F117" i="10"/>
  <c r="G117" i="10" s="1"/>
  <c r="D293" i="15" s="1"/>
  <c r="F113" i="10"/>
  <c r="G113" i="10" s="1"/>
  <c r="D289" i="15" s="1"/>
  <c r="F109" i="10"/>
  <c r="G109" i="10" s="1"/>
  <c r="D285" i="15" s="1"/>
  <c r="F105" i="10"/>
  <c r="G105" i="10" s="1"/>
  <c r="D281" i="15" s="1"/>
  <c r="F70" i="10"/>
  <c r="G70" i="10" s="1"/>
  <c r="D246" i="15" s="1"/>
  <c r="F160" i="10"/>
  <c r="G160" i="10" s="1"/>
  <c r="D336" i="15" s="1"/>
  <c r="F156" i="10"/>
  <c r="G156" i="10" s="1"/>
  <c r="D332" i="15" s="1"/>
  <c r="F152" i="10"/>
  <c r="G152" i="10" s="1"/>
  <c r="D328" i="15" s="1"/>
  <c r="F148" i="10"/>
  <c r="G148" i="10" s="1"/>
  <c r="D324" i="15" s="1"/>
  <c r="F144" i="10"/>
  <c r="G144" i="10" s="1"/>
  <c r="D320" i="15" s="1"/>
  <c r="F140" i="10"/>
  <c r="G140" i="10" s="1"/>
  <c r="D316" i="15" s="1"/>
  <c r="F136" i="10"/>
  <c r="G136" i="10" s="1"/>
  <c r="D312" i="15" s="1"/>
  <c r="B72" i="9"/>
  <c r="B80" i="9"/>
  <c r="B69" i="9"/>
  <c r="B73" i="9"/>
  <c r="B77" i="9"/>
  <c r="B81" i="9"/>
  <c r="B70" i="9"/>
  <c r="B74" i="9"/>
  <c r="B78" i="9"/>
  <c r="B82" i="9"/>
  <c r="B71" i="9"/>
  <c r="B75" i="9"/>
  <c r="B79" i="9"/>
  <c r="B55" i="9"/>
  <c r="B63" i="9"/>
  <c r="B56" i="9"/>
  <c r="B60" i="9"/>
  <c r="B64" i="9"/>
  <c r="B54" i="9"/>
  <c r="B58" i="9"/>
  <c r="B62" i="9"/>
  <c r="B66" i="9"/>
  <c r="B59" i="9"/>
  <c r="B67" i="9"/>
  <c r="B57" i="9"/>
  <c r="B61" i="9"/>
  <c r="B39" i="9"/>
  <c r="B47" i="9"/>
  <c r="B51" i="9"/>
  <c r="B40" i="9"/>
  <c r="B44" i="9"/>
  <c r="B48" i="9"/>
  <c r="B52" i="9"/>
  <c r="B41" i="9"/>
  <c r="B45" i="9"/>
  <c r="B25" i="9"/>
  <c r="B35" i="9"/>
  <c r="B31" i="9"/>
  <c r="B27" i="9"/>
  <c r="B34" i="9"/>
  <c r="B30" i="9"/>
  <c r="B26" i="9"/>
  <c r="B37" i="9"/>
  <c r="B33" i="9"/>
  <c r="B29" i="9"/>
  <c r="F375" i="4"/>
  <c r="G375" i="4"/>
  <c r="G373" i="4"/>
  <c r="F382" i="4"/>
  <c r="G382" i="4"/>
  <c r="F371" i="4"/>
  <c r="G371" i="4"/>
  <c r="F379" i="4"/>
  <c r="G379" i="4"/>
  <c r="G368" i="4"/>
  <c r="F368" i="4"/>
  <c r="F380" i="4"/>
  <c r="G82" i="7"/>
  <c r="J381" i="4" s="1"/>
  <c r="G80" i="7"/>
  <c r="J379" i="4" s="1"/>
  <c r="G76" i="7"/>
  <c r="J375" i="4" s="1"/>
  <c r="G72" i="7"/>
  <c r="J371" i="4" s="1"/>
  <c r="F355" i="4"/>
  <c r="G354" i="4"/>
  <c r="F354" i="4"/>
  <c r="G362" i="4"/>
  <c r="F362" i="4"/>
  <c r="G366" i="4"/>
  <c r="F366" i="4"/>
  <c r="G359" i="4"/>
  <c r="F359" i="4"/>
  <c r="G364" i="4"/>
  <c r="G353" i="4"/>
  <c r="F353" i="4"/>
  <c r="G76" i="6"/>
  <c r="J360" i="4" s="1"/>
  <c r="G79" i="6"/>
  <c r="J363" i="4" s="1"/>
  <c r="G82" i="6"/>
  <c r="J366" i="4" s="1"/>
  <c r="G80" i="6"/>
  <c r="J364" i="4" s="1"/>
  <c r="G75" i="6"/>
  <c r="J359" i="4" s="1"/>
  <c r="F339" i="4"/>
  <c r="G339" i="4"/>
  <c r="G343" i="4"/>
  <c r="F347" i="4"/>
  <c r="G347" i="4"/>
  <c r="F338" i="4"/>
  <c r="G338" i="4"/>
  <c r="G83" i="5"/>
  <c r="J352" i="4" s="1"/>
  <c r="G78" i="5"/>
  <c r="J347" i="4" s="1"/>
  <c r="G75" i="5"/>
  <c r="J344" i="4" s="1"/>
  <c r="G70" i="5"/>
  <c r="J339" i="4" s="1"/>
  <c r="G335" i="4"/>
  <c r="F335" i="4"/>
  <c r="G327" i="4"/>
  <c r="F327" i="4"/>
  <c r="G324" i="4"/>
  <c r="F324" i="4"/>
  <c r="G328" i="4"/>
  <c r="F328" i="4"/>
  <c r="G336" i="4"/>
  <c r="F336" i="4"/>
  <c r="G323" i="4"/>
  <c r="F323" i="4"/>
  <c r="G331" i="4"/>
  <c r="F331" i="4"/>
  <c r="G332" i="4"/>
  <c r="F332" i="4"/>
  <c r="G325" i="4"/>
  <c r="F325" i="4"/>
  <c r="G329" i="4"/>
  <c r="F329" i="4"/>
  <c r="F333" i="4"/>
  <c r="G333" i="4"/>
  <c r="G326" i="4"/>
  <c r="F326" i="4"/>
  <c r="G330" i="4"/>
  <c r="F330" i="4"/>
  <c r="G334" i="4"/>
  <c r="F334" i="4"/>
  <c r="G337" i="4"/>
  <c r="G83" i="8"/>
  <c r="J322" i="4" s="1"/>
  <c r="G79" i="8"/>
  <c r="J318" i="4" s="1"/>
  <c r="G75" i="8"/>
  <c r="J314" i="4" s="1"/>
  <c r="G71" i="8"/>
  <c r="J310" i="4" s="1"/>
  <c r="D54" i="6"/>
  <c r="F10" i="8"/>
  <c r="F13" i="8"/>
  <c r="F14" i="2"/>
  <c r="F17" i="8"/>
  <c r="F19" i="2"/>
  <c r="F21" i="2"/>
  <c r="F23" i="8"/>
  <c r="F9" i="5"/>
  <c r="H44" i="1"/>
  <c r="H59" i="1" s="1"/>
  <c r="G27" i="1"/>
  <c r="H27" i="1"/>
  <c r="H42" i="1" s="1"/>
  <c r="H57" i="1" s="1"/>
  <c r="G28" i="1"/>
  <c r="H28" i="1"/>
  <c r="H43" i="1" s="1"/>
  <c r="H58" i="1" s="1"/>
  <c r="G29" i="1"/>
  <c r="H29" i="1"/>
  <c r="G30" i="1"/>
  <c r="H30" i="1"/>
  <c r="H45" i="1" s="1"/>
  <c r="H60" i="1" s="1"/>
  <c r="G31" i="1"/>
  <c r="H31" i="1"/>
  <c r="H46" i="1" s="1"/>
  <c r="H61" i="1" s="1"/>
  <c r="G32" i="1"/>
  <c r="G47" i="1" s="1"/>
  <c r="H32" i="1"/>
  <c r="G33" i="1"/>
  <c r="H33" i="1"/>
  <c r="H48" i="1" s="1"/>
  <c r="H63" i="1" s="1"/>
  <c r="G34" i="1"/>
  <c r="G49" i="1" s="1"/>
  <c r="H34" i="1"/>
  <c r="H49" i="1" s="1"/>
  <c r="H64" i="1" s="1"/>
  <c r="G35" i="1"/>
  <c r="H35" i="1"/>
  <c r="H50" i="1" s="1"/>
  <c r="H65" i="1" s="1"/>
  <c r="G36" i="1"/>
  <c r="H36" i="1"/>
  <c r="H51" i="1" s="1"/>
  <c r="H66" i="1" s="1"/>
  <c r="G37" i="1"/>
  <c r="H37" i="1"/>
  <c r="H52" i="1" s="1"/>
  <c r="H67" i="1" s="1"/>
  <c r="G38" i="1"/>
  <c r="H38" i="1"/>
  <c r="H53" i="1" s="1"/>
  <c r="H68" i="1" s="1"/>
  <c r="G39" i="1"/>
  <c r="H39" i="1"/>
  <c r="H54" i="1" s="1"/>
  <c r="H69" i="1" s="1"/>
  <c r="G40" i="1"/>
  <c r="G55" i="1" s="1"/>
  <c r="H40" i="1"/>
  <c r="H26" i="1"/>
  <c r="H41" i="1" s="1"/>
  <c r="H56" i="1" s="1"/>
  <c r="H71" i="1" s="1"/>
  <c r="G26" i="1"/>
  <c r="G41" i="1" s="1"/>
  <c r="AB5" i="4"/>
  <c r="AA8" i="4"/>
  <c r="AC8" i="4" s="1"/>
  <c r="AB9" i="4"/>
  <c r="AB8" i="4"/>
  <c r="AB7" i="4"/>
  <c r="AB6" i="4"/>
  <c r="C293" i="4"/>
  <c r="C278" i="4"/>
  <c r="C263" i="4"/>
  <c r="C248" i="4"/>
  <c r="C233" i="4"/>
  <c r="U73" i="4" a="1"/>
  <c r="U73" i="4" s="1"/>
  <c r="U72" i="4" a="1"/>
  <c r="U72" i="4" s="1"/>
  <c r="U71" i="4" a="1"/>
  <c r="U71" i="4" s="1"/>
  <c r="U70" i="4" a="1"/>
  <c r="U70" i="4" s="1"/>
  <c r="U69" i="4" a="1"/>
  <c r="U69" i="4" s="1"/>
  <c r="U68" i="4" a="1"/>
  <c r="U68" i="4" s="1"/>
  <c r="F4" i="4"/>
  <c r="F5" i="4" s="1"/>
  <c r="E4" i="4"/>
  <c r="H99" i="4" s="1"/>
  <c r="C55" i="7"/>
  <c r="D55" i="7" s="1"/>
  <c r="C294" i="4" s="1"/>
  <c r="D293" i="4"/>
  <c r="C40" i="7"/>
  <c r="D40" i="7" s="1"/>
  <c r="C219" i="4" s="1"/>
  <c r="D39" i="7"/>
  <c r="C218" i="4" s="1"/>
  <c r="D218" i="4"/>
  <c r="C25" i="7"/>
  <c r="D25" i="7" s="1"/>
  <c r="C204" i="4" s="1"/>
  <c r="D24" i="7"/>
  <c r="C203" i="4" s="1"/>
  <c r="D203" i="4"/>
  <c r="C10" i="7"/>
  <c r="D10" i="7" s="1"/>
  <c r="C189" i="4" s="1"/>
  <c r="D9" i="7"/>
  <c r="C188" i="4" s="1"/>
  <c r="D188" i="4"/>
  <c r="I7" i="7"/>
  <c r="I6" i="7"/>
  <c r="C55" i="6"/>
  <c r="D55" i="6" s="1"/>
  <c r="D278" i="4"/>
  <c r="C40" i="6"/>
  <c r="D40" i="6" s="1"/>
  <c r="C174" i="4" s="1"/>
  <c r="D39" i="6"/>
  <c r="C173" i="4" s="1"/>
  <c r="D173" i="4"/>
  <c r="C25" i="6"/>
  <c r="D25" i="6" s="1"/>
  <c r="C159" i="4" s="1"/>
  <c r="D24" i="6"/>
  <c r="C158" i="4" s="1"/>
  <c r="D158" i="4"/>
  <c r="C10" i="6"/>
  <c r="D10" i="6" s="1"/>
  <c r="C144" i="4" s="1"/>
  <c r="D9" i="6"/>
  <c r="C143" i="4" s="1"/>
  <c r="D143" i="4"/>
  <c r="I7" i="6"/>
  <c r="I6" i="6"/>
  <c r="D55" i="5"/>
  <c r="C264" i="4" s="1"/>
  <c r="D263" i="4"/>
  <c r="C40" i="5"/>
  <c r="D40" i="5" s="1"/>
  <c r="C129" i="4" s="1"/>
  <c r="D39" i="5"/>
  <c r="C128" i="4" s="1"/>
  <c r="D128" i="4"/>
  <c r="C25" i="5"/>
  <c r="D25" i="5" s="1"/>
  <c r="C114" i="4" s="1"/>
  <c r="D24" i="5"/>
  <c r="C113" i="4" s="1"/>
  <c r="D113" i="4"/>
  <c r="C10" i="5"/>
  <c r="C99" i="4" s="1"/>
  <c r="C98" i="4"/>
  <c r="D98" i="4"/>
  <c r="I7" i="5"/>
  <c r="I6" i="5"/>
  <c r="D248" i="4"/>
  <c r="D39" i="2"/>
  <c r="C83" i="4" s="1"/>
  <c r="D83" i="4"/>
  <c r="D24" i="2"/>
  <c r="C68" i="4" s="1"/>
  <c r="D68" i="4"/>
  <c r="D9" i="2"/>
  <c r="C53" i="4" s="1"/>
  <c r="D53" i="4"/>
  <c r="D4" i="2"/>
  <c r="C4" i="2"/>
  <c r="K6" i="2" s="1"/>
  <c r="V23" i="15" s="1"/>
  <c r="C55" i="8"/>
  <c r="D55" i="8" s="1"/>
  <c r="C234" i="4" s="1"/>
  <c r="D233" i="4"/>
  <c r="C40" i="8"/>
  <c r="D40" i="8" s="1"/>
  <c r="C39" i="4" s="1"/>
  <c r="D39" i="8"/>
  <c r="C38" i="4" s="1"/>
  <c r="D38" i="4"/>
  <c r="C25" i="8"/>
  <c r="D25" i="8" s="1"/>
  <c r="C24" i="4" s="1"/>
  <c r="D24" i="8"/>
  <c r="C23" i="4" s="1"/>
  <c r="D23" i="4"/>
  <c r="C10" i="8"/>
  <c r="D10" i="8" s="1"/>
  <c r="C9" i="4" s="1"/>
  <c r="D9" i="8"/>
  <c r="C8" i="4" s="1"/>
  <c r="D8" i="4"/>
  <c r="I7" i="8"/>
  <c r="D70" i="1"/>
  <c r="C70" i="1"/>
  <c r="D69" i="1"/>
  <c r="C69" i="1"/>
  <c r="D291" i="4"/>
  <c r="D68" i="1"/>
  <c r="C68" i="1"/>
  <c r="D67" i="1"/>
  <c r="C67" i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295" i="4"/>
  <c r="D55" i="1"/>
  <c r="C53" i="8" s="1"/>
  <c r="D53" i="8" s="1"/>
  <c r="C52" i="4" s="1"/>
  <c r="C55" i="1"/>
  <c r="D54" i="1"/>
  <c r="C52" i="5" s="1"/>
  <c r="D52" i="5" s="1"/>
  <c r="C141" i="4" s="1"/>
  <c r="C54" i="1"/>
  <c r="D53" i="1"/>
  <c r="C51" i="6" s="1"/>
  <c r="D51" i="6" s="1"/>
  <c r="C185" i="4" s="1"/>
  <c r="C53" i="1"/>
  <c r="D52" i="1"/>
  <c r="C50" i="7" s="1"/>
  <c r="D50" i="7" s="1"/>
  <c r="C229" i="4" s="1"/>
  <c r="C52" i="1"/>
  <c r="D229" i="4"/>
  <c r="D51" i="1"/>
  <c r="C49" i="5" s="1"/>
  <c r="D49" i="5" s="1"/>
  <c r="C138" i="4" s="1"/>
  <c r="C51" i="1"/>
  <c r="D50" i="1"/>
  <c r="C48" i="5" s="1"/>
  <c r="D48" i="5" s="1"/>
  <c r="C137" i="4" s="1"/>
  <c r="C50" i="1"/>
  <c r="D49" i="1"/>
  <c r="C47" i="6" s="1"/>
  <c r="D47" i="6" s="1"/>
  <c r="C181" i="4" s="1"/>
  <c r="C49" i="1"/>
  <c r="D48" i="1"/>
  <c r="C46" i="7" s="1"/>
  <c r="D46" i="7" s="1"/>
  <c r="C225" i="4" s="1"/>
  <c r="C48" i="1"/>
  <c r="D47" i="1"/>
  <c r="C45" i="8" s="1"/>
  <c r="D45" i="8" s="1"/>
  <c r="C44" i="4" s="1"/>
  <c r="C47" i="1"/>
  <c r="D46" i="1"/>
  <c r="C44" i="8" s="1"/>
  <c r="D44" i="8" s="1"/>
  <c r="C43" i="4" s="1"/>
  <c r="C46" i="1"/>
  <c r="D45" i="1"/>
  <c r="C43" i="7" s="1"/>
  <c r="D43" i="7" s="1"/>
  <c r="C222" i="4" s="1"/>
  <c r="C45" i="1"/>
  <c r="D44" i="1"/>
  <c r="C42" i="7" s="1"/>
  <c r="D42" i="7" s="1"/>
  <c r="C221" i="4" s="1"/>
  <c r="C44" i="1"/>
  <c r="D43" i="1"/>
  <c r="C41" i="8" s="1"/>
  <c r="D41" i="8" s="1"/>
  <c r="C40" i="4" s="1"/>
  <c r="C43" i="1"/>
  <c r="D40" i="1"/>
  <c r="C38" i="8" s="1"/>
  <c r="D38" i="8" s="1"/>
  <c r="C37" i="4" s="1"/>
  <c r="C40" i="1"/>
  <c r="D39" i="1"/>
  <c r="C37" i="6" s="1"/>
  <c r="D37" i="6" s="1"/>
  <c r="C171" i="4" s="1"/>
  <c r="C39" i="1"/>
  <c r="D38" i="1"/>
  <c r="C36" i="7" s="1"/>
  <c r="D36" i="7" s="1"/>
  <c r="C215" i="4" s="1"/>
  <c r="C38" i="1"/>
  <c r="D37" i="1"/>
  <c r="C35" i="5" s="1"/>
  <c r="D35" i="5" s="1"/>
  <c r="C124" i="4" s="1"/>
  <c r="C37" i="1"/>
  <c r="D36" i="1"/>
  <c r="C34" i="8" s="1"/>
  <c r="D34" i="8" s="1"/>
  <c r="C33" i="4" s="1"/>
  <c r="C36" i="1"/>
  <c r="D35" i="1"/>
  <c r="C33" i="6" s="1"/>
  <c r="D33" i="6" s="1"/>
  <c r="C167" i="4" s="1"/>
  <c r="C35" i="1"/>
  <c r="D34" i="1"/>
  <c r="C32" i="7" s="1"/>
  <c r="D32" i="7" s="1"/>
  <c r="C211" i="4" s="1"/>
  <c r="C34" i="1"/>
  <c r="D33" i="1"/>
  <c r="C31" i="5" s="1"/>
  <c r="D31" i="5" s="1"/>
  <c r="C120" i="4" s="1"/>
  <c r="C33" i="1"/>
  <c r="D32" i="1"/>
  <c r="C30" i="8" s="1"/>
  <c r="D30" i="8" s="1"/>
  <c r="C29" i="4" s="1"/>
  <c r="C32" i="1"/>
  <c r="D31" i="1"/>
  <c r="C29" i="6" s="1"/>
  <c r="D29" i="6" s="1"/>
  <c r="C163" i="4" s="1"/>
  <c r="C31" i="1"/>
  <c r="D30" i="1"/>
  <c r="C28" i="7" s="1"/>
  <c r="D28" i="7" s="1"/>
  <c r="C207" i="4" s="1"/>
  <c r="C30" i="1"/>
  <c r="D29" i="1"/>
  <c r="C27" i="5" s="1"/>
  <c r="D27" i="5" s="1"/>
  <c r="C116" i="4" s="1"/>
  <c r="C29" i="1"/>
  <c r="D28" i="1"/>
  <c r="C26" i="6" s="1"/>
  <c r="D26" i="6" s="1"/>
  <c r="C160" i="4" s="1"/>
  <c r="C28" i="1"/>
  <c r="D25" i="1"/>
  <c r="C23" i="6" s="1"/>
  <c r="D23" i="6" s="1"/>
  <c r="C157" i="4" s="1"/>
  <c r="C25" i="1"/>
  <c r="D24" i="1"/>
  <c r="C22" i="8" s="1"/>
  <c r="D22" i="8" s="1"/>
  <c r="C21" i="4" s="1"/>
  <c r="C24" i="1"/>
  <c r="D23" i="1"/>
  <c r="C21" i="7" s="1"/>
  <c r="D21" i="7" s="1"/>
  <c r="C200" i="4" s="1"/>
  <c r="C23" i="1"/>
  <c r="D22" i="1"/>
  <c r="C20" i="6" s="1"/>
  <c r="D20" i="6" s="1"/>
  <c r="C154" i="4" s="1"/>
  <c r="C22" i="1"/>
  <c r="D21" i="1"/>
  <c r="C19" i="5" s="1"/>
  <c r="D19" i="5" s="1"/>
  <c r="C108" i="4" s="1"/>
  <c r="C21" i="1"/>
  <c r="D20" i="1"/>
  <c r="C18" i="5" s="1"/>
  <c r="D18" i="5" s="1"/>
  <c r="C107" i="4" s="1"/>
  <c r="C20" i="1"/>
  <c r="D19" i="1"/>
  <c r="C17" i="7" s="1"/>
  <c r="D17" i="7" s="1"/>
  <c r="C196" i="4" s="1"/>
  <c r="C19" i="1"/>
  <c r="D18" i="1"/>
  <c r="C16" i="5" s="1"/>
  <c r="D16" i="5" s="1"/>
  <c r="C105" i="4" s="1"/>
  <c r="C18" i="1"/>
  <c r="D17" i="1"/>
  <c r="C15" i="5" s="1"/>
  <c r="D15" i="5" s="1"/>
  <c r="C104" i="4" s="1"/>
  <c r="C17" i="1"/>
  <c r="D16" i="1"/>
  <c r="C14" i="5" s="1"/>
  <c r="D14" i="5" s="1"/>
  <c r="C103" i="4" s="1"/>
  <c r="D15" i="1"/>
  <c r="C13" i="7" s="1"/>
  <c r="D13" i="7" s="1"/>
  <c r="C192" i="4" s="1"/>
  <c r="C15" i="1"/>
  <c r="D14" i="1"/>
  <c r="D12" i="5" s="1"/>
  <c r="C101" i="4" s="1"/>
  <c r="C14" i="1"/>
  <c r="D13" i="1"/>
  <c r="C11" i="5" s="1"/>
  <c r="D11" i="5" s="1"/>
  <c r="C100" i="4" s="1"/>
  <c r="C13" i="1"/>
  <c r="L26" i="4" l="1" a="1"/>
  <c r="L26" i="4" s="1"/>
  <c r="M26" i="4" s="1"/>
  <c r="L27" i="4" a="1"/>
  <c r="L27" i="4" s="1"/>
  <c r="M27" i="4" s="1"/>
  <c r="L28" i="4" a="1"/>
  <c r="L28" i="4" s="1"/>
  <c r="M28" i="4" s="1"/>
  <c r="L29" i="4" a="1"/>
  <c r="L29" i="4" s="1"/>
  <c r="M29" i="4" s="1"/>
  <c r="N45" i="15"/>
  <c r="O45" i="15" s="1"/>
  <c r="G360" i="4"/>
  <c r="F376" i="4"/>
  <c r="B111" i="12"/>
  <c r="B111" i="10"/>
  <c r="E287" i="15" s="1"/>
  <c r="K287" i="15" s="1"/>
  <c r="B111" i="14"/>
  <c r="B111" i="13"/>
  <c r="E827" i="15" s="1"/>
  <c r="K827" i="15" s="1"/>
  <c r="B111" i="11"/>
  <c r="E467" i="15" s="1"/>
  <c r="K467" i="15" s="1"/>
  <c r="B133" i="12"/>
  <c r="E669" i="15" s="1"/>
  <c r="K669" i="15" s="1"/>
  <c r="B133" i="10"/>
  <c r="B133" i="14"/>
  <c r="B133" i="11"/>
  <c r="B133" i="13"/>
  <c r="E849" i="15" s="1"/>
  <c r="K849" i="15" s="1"/>
  <c r="B157" i="12"/>
  <c r="B157" i="10"/>
  <c r="B157" i="14"/>
  <c r="B157" i="11"/>
  <c r="E513" i="15" s="1"/>
  <c r="K513" i="15" s="1"/>
  <c r="B157" i="13"/>
  <c r="E873" i="15" s="1"/>
  <c r="K873" i="15" s="1"/>
  <c r="B123" i="12"/>
  <c r="B123" i="10"/>
  <c r="B123" i="14"/>
  <c r="E119" i="15" s="1"/>
  <c r="K119" i="15" s="1"/>
  <c r="B123" i="13"/>
  <c r="E839" i="15" s="1"/>
  <c r="K839" i="15" s="1"/>
  <c r="B123" i="11"/>
  <c r="E479" i="15" s="1"/>
  <c r="K479" i="15" s="1"/>
  <c r="B148" i="11"/>
  <c r="B148" i="13"/>
  <c r="E864" i="15" s="1"/>
  <c r="K864" i="15" s="1"/>
  <c r="B148" i="12"/>
  <c r="E684" i="15" s="1"/>
  <c r="K684" i="15" s="1"/>
  <c r="B148" i="14"/>
  <c r="E144" i="15" s="1"/>
  <c r="K144" i="15" s="1"/>
  <c r="B148" i="10"/>
  <c r="B116" i="11"/>
  <c r="E472" i="15" s="1"/>
  <c r="K472" i="15" s="1"/>
  <c r="B116" i="13"/>
  <c r="E832" i="15" s="1"/>
  <c r="K832" i="15" s="1"/>
  <c r="B116" i="14"/>
  <c r="E112" i="15" s="1"/>
  <c r="K112" i="15" s="1"/>
  <c r="B116" i="10"/>
  <c r="E292" i="15" s="1"/>
  <c r="K292" i="15" s="1"/>
  <c r="B116" i="12"/>
  <c r="E652" i="15" s="1"/>
  <c r="K652" i="15" s="1"/>
  <c r="B149" i="12"/>
  <c r="B149" i="10"/>
  <c r="B149" i="14"/>
  <c r="B149" i="11"/>
  <c r="B149" i="13"/>
  <c r="B139" i="12"/>
  <c r="E675" i="15" s="1"/>
  <c r="K675" i="15" s="1"/>
  <c r="B139" i="10"/>
  <c r="B139" i="14"/>
  <c r="E135" i="15" s="1"/>
  <c r="K135" i="15" s="1"/>
  <c r="B139" i="13"/>
  <c r="B139" i="11"/>
  <c r="B129" i="10"/>
  <c r="B129" i="14"/>
  <c r="B129" i="12"/>
  <c r="E665" i="15" s="1"/>
  <c r="K665" i="15" s="1"/>
  <c r="B129" i="13"/>
  <c r="E845" i="15" s="1"/>
  <c r="B129" i="11"/>
  <c r="E281" i="15"/>
  <c r="K281" i="15" s="1"/>
  <c r="B105" i="10"/>
  <c r="B105" i="14"/>
  <c r="E101" i="15" s="1"/>
  <c r="K101" i="15" s="1"/>
  <c r="B105" i="12"/>
  <c r="E641" i="15" s="1"/>
  <c r="K641" i="15" s="1"/>
  <c r="B105" i="13"/>
  <c r="E821" i="15" s="1"/>
  <c r="B105" i="11"/>
  <c r="E461" i="15" s="1"/>
  <c r="K461" i="15" s="1"/>
  <c r="B130" i="13"/>
  <c r="E846" i="15" s="1"/>
  <c r="K846" i="15" s="1"/>
  <c r="N44" i="15" s="1"/>
  <c r="O44" i="15" s="1"/>
  <c r="B130" i="11"/>
  <c r="B130" i="10"/>
  <c r="E306" i="15" s="1"/>
  <c r="K306" i="15" s="1"/>
  <c r="B130" i="14"/>
  <c r="B130" i="12"/>
  <c r="B159" i="12"/>
  <c r="B159" i="10"/>
  <c r="E335" i="15" s="1"/>
  <c r="K335" i="15" s="1"/>
  <c r="B159" i="14"/>
  <c r="B159" i="13"/>
  <c r="E875" i="15" s="1"/>
  <c r="B159" i="11"/>
  <c r="B121" i="10"/>
  <c r="B121" i="14"/>
  <c r="B121" i="12"/>
  <c r="E657" i="15" s="1"/>
  <c r="K657" i="15" s="1"/>
  <c r="B121" i="13"/>
  <c r="B121" i="11"/>
  <c r="E477" i="15" s="1"/>
  <c r="K477" i="15" s="1"/>
  <c r="B109" i="12"/>
  <c r="E645" i="15" s="1"/>
  <c r="K645" i="15" s="1"/>
  <c r="B109" i="10"/>
  <c r="E285" i="15" s="1"/>
  <c r="B109" i="14"/>
  <c r="E105" i="15" s="1"/>
  <c r="K105" i="15" s="1"/>
  <c r="B109" i="11"/>
  <c r="E465" i="15" s="1"/>
  <c r="K465" i="15" s="1"/>
  <c r="B109" i="13"/>
  <c r="E825" i="15" s="1"/>
  <c r="K825" i="15" s="1"/>
  <c r="B150" i="13"/>
  <c r="E866" i="15" s="1"/>
  <c r="K866" i="15" s="1"/>
  <c r="B150" i="11"/>
  <c r="E506" i="15" s="1"/>
  <c r="K506" i="15" s="1"/>
  <c r="B150" i="12"/>
  <c r="B150" i="14"/>
  <c r="E146" i="15" s="1"/>
  <c r="K146" i="15" s="1"/>
  <c r="B150" i="10"/>
  <c r="B141" i="12"/>
  <c r="E677" i="15" s="1"/>
  <c r="K677" i="15" s="1"/>
  <c r="B141" i="10"/>
  <c r="E317" i="15" s="1"/>
  <c r="K317" i="15" s="1"/>
  <c r="B141" i="14"/>
  <c r="B141" i="11"/>
  <c r="B141" i="13"/>
  <c r="B103" i="12"/>
  <c r="B103" i="10"/>
  <c r="E279" i="15" s="1"/>
  <c r="K279" i="15" s="1"/>
  <c r="B103" i="14"/>
  <c r="E99" i="15" s="1"/>
  <c r="K99" i="15" s="1"/>
  <c r="B103" i="11"/>
  <c r="B103" i="13"/>
  <c r="B131" i="12"/>
  <c r="B131" i="10"/>
  <c r="B131" i="14"/>
  <c r="E127" i="15" s="1"/>
  <c r="K127" i="15" s="1"/>
  <c r="B131" i="11"/>
  <c r="B131" i="13"/>
  <c r="E847" i="15" s="1"/>
  <c r="K847" i="15" s="1"/>
  <c r="B151" i="12"/>
  <c r="E687" i="15" s="1"/>
  <c r="K687" i="15" s="1"/>
  <c r="B151" i="10"/>
  <c r="E327" i="15" s="1"/>
  <c r="K327" i="15" s="1"/>
  <c r="B151" i="14"/>
  <c r="B151" i="13"/>
  <c r="B151" i="11"/>
  <c r="E507" i="15" s="1"/>
  <c r="K507" i="15" s="1"/>
  <c r="B161" i="10"/>
  <c r="B161" i="14"/>
  <c r="B161" i="12"/>
  <c r="B161" i="13"/>
  <c r="E877" i="15" s="1"/>
  <c r="K877" i="15" s="1"/>
  <c r="B161" i="11"/>
  <c r="E517" i="15" s="1"/>
  <c r="K517" i="15" s="1"/>
  <c r="B127" i="12"/>
  <c r="B127" i="10"/>
  <c r="B127" i="14"/>
  <c r="E123" i="15" s="1"/>
  <c r="K123" i="15" s="1"/>
  <c r="B127" i="13"/>
  <c r="E843" i="15" s="1"/>
  <c r="K843" i="15" s="1"/>
  <c r="B127" i="11"/>
  <c r="B143" i="12"/>
  <c r="E679" i="15" s="1"/>
  <c r="K679" i="15" s="1"/>
  <c r="B143" i="10"/>
  <c r="B143" i="14"/>
  <c r="E139" i="15" s="1"/>
  <c r="K139" i="15" s="1"/>
  <c r="B143" i="11"/>
  <c r="E499" i="15" s="1"/>
  <c r="K499" i="15" s="1"/>
  <c r="B143" i="13"/>
  <c r="B125" i="12"/>
  <c r="B125" i="10"/>
  <c r="E301" i="15" s="1"/>
  <c r="K301" i="15" s="1"/>
  <c r="B125" i="14"/>
  <c r="B125" i="11"/>
  <c r="E481" i="15" s="1"/>
  <c r="K481" i="15" s="1"/>
  <c r="B125" i="13"/>
  <c r="B145" i="10"/>
  <c r="B145" i="14"/>
  <c r="B145" i="12"/>
  <c r="B145" i="13"/>
  <c r="E861" i="15" s="1"/>
  <c r="K861" i="15" s="1"/>
  <c r="B145" i="11"/>
  <c r="E501" i="15" s="1"/>
  <c r="K501" i="15" s="1"/>
  <c r="B107" i="12"/>
  <c r="B107" i="10"/>
  <c r="E283" i="15" s="1"/>
  <c r="K283" i="15" s="1"/>
  <c r="B107" i="14"/>
  <c r="E103" i="15" s="1"/>
  <c r="K103" i="15" s="1"/>
  <c r="B107" i="13"/>
  <c r="B107" i="11"/>
  <c r="B110" i="13"/>
  <c r="E826" i="15" s="1"/>
  <c r="K826" i="15" s="1"/>
  <c r="B110" i="11"/>
  <c r="E466" i="15" s="1"/>
  <c r="K466" i="15" s="1"/>
  <c r="B110" i="12"/>
  <c r="E646" i="15" s="1"/>
  <c r="K646" i="15" s="1"/>
  <c r="B110" i="14"/>
  <c r="E106" i="15" s="1"/>
  <c r="B110" i="10"/>
  <c r="E286" i="15" s="1"/>
  <c r="B153" i="10"/>
  <c r="E329" i="15" s="1"/>
  <c r="K329" i="15" s="1"/>
  <c r="B153" i="14"/>
  <c r="B153" i="12"/>
  <c r="E689" i="15" s="1"/>
  <c r="K689" i="15" s="1"/>
  <c r="B153" i="13"/>
  <c r="E869" i="15" s="1"/>
  <c r="K869" i="15" s="1"/>
  <c r="B153" i="11"/>
  <c r="E509" i="15" s="1"/>
  <c r="K509" i="15" s="1"/>
  <c r="B119" i="12"/>
  <c r="B119" i="10"/>
  <c r="E295" i="15" s="1"/>
  <c r="K295" i="15" s="1"/>
  <c r="B119" i="14"/>
  <c r="B119" i="13"/>
  <c r="E835" i="15" s="1"/>
  <c r="K835" i="15" s="1"/>
  <c r="B119" i="11"/>
  <c r="B135" i="12"/>
  <c r="E671" i="15" s="1"/>
  <c r="K671" i="15" s="1"/>
  <c r="B135" i="10"/>
  <c r="B135" i="14"/>
  <c r="B135" i="11"/>
  <c r="B135" i="13"/>
  <c r="E851" i="15" s="1"/>
  <c r="K851" i="15" s="1"/>
  <c r="B155" i="12"/>
  <c r="B155" i="10"/>
  <c r="E331" i="15" s="1"/>
  <c r="K331" i="15" s="1"/>
  <c r="B155" i="14"/>
  <c r="B155" i="13"/>
  <c r="B155" i="11"/>
  <c r="E511" i="15" s="1"/>
  <c r="K511" i="15" s="1"/>
  <c r="B137" i="10"/>
  <c r="E313" i="15" s="1"/>
  <c r="K313" i="15" s="1"/>
  <c r="B137" i="14"/>
  <c r="B137" i="12"/>
  <c r="E673" i="15" s="1"/>
  <c r="B137" i="13"/>
  <c r="B137" i="11"/>
  <c r="E493" i="15" s="1"/>
  <c r="K493" i="15" s="1"/>
  <c r="B114" i="13"/>
  <c r="E830" i="15" s="1"/>
  <c r="K830" i="15" s="1"/>
  <c r="B114" i="11"/>
  <c r="E470" i="15" s="1"/>
  <c r="K470" i="15" s="1"/>
  <c r="B114" i="10"/>
  <c r="E290" i="15" s="1"/>
  <c r="B114" i="14"/>
  <c r="B114" i="12"/>
  <c r="E650" i="15" s="1"/>
  <c r="K650" i="15" s="1"/>
  <c r="B144" i="13"/>
  <c r="B144" i="11"/>
  <c r="E500" i="15" s="1"/>
  <c r="K500" i="15" s="1"/>
  <c r="B144" i="10"/>
  <c r="B144" i="12"/>
  <c r="B144" i="14"/>
  <c r="E140" i="15" s="1"/>
  <c r="K140" i="15" s="1"/>
  <c r="B126" i="13"/>
  <c r="E842" i="15" s="1"/>
  <c r="K842" i="15" s="1"/>
  <c r="B126" i="11"/>
  <c r="B126" i="12"/>
  <c r="E662" i="15" s="1"/>
  <c r="K662" i="15" s="1"/>
  <c r="B126" i="10"/>
  <c r="B126" i="14"/>
  <c r="E122" i="15" s="1"/>
  <c r="K122" i="15" s="1"/>
  <c r="B124" i="11"/>
  <c r="B124" i="13"/>
  <c r="B124" i="10"/>
  <c r="B124" i="12"/>
  <c r="E660" i="15" s="1"/>
  <c r="K660" i="15" s="1"/>
  <c r="B124" i="14"/>
  <c r="B104" i="13"/>
  <c r="E820" i="15" s="1"/>
  <c r="B104" i="11"/>
  <c r="E460" i="15" s="1"/>
  <c r="B104" i="12"/>
  <c r="E640" i="15" s="1"/>
  <c r="K640" i="15" s="1"/>
  <c r="B104" i="10"/>
  <c r="E280" i="15" s="1"/>
  <c r="B104" i="14"/>
  <c r="B140" i="11"/>
  <c r="E496" i="15" s="1"/>
  <c r="K496" i="15" s="1"/>
  <c r="B140" i="13"/>
  <c r="B140" i="12"/>
  <c r="E676" i="15" s="1"/>
  <c r="K676" i="15" s="1"/>
  <c r="B140" i="10"/>
  <c r="B140" i="14"/>
  <c r="B156" i="11"/>
  <c r="B156" i="13"/>
  <c r="B156" i="14"/>
  <c r="B156" i="10"/>
  <c r="E332" i="15" s="1"/>
  <c r="K332" i="15" s="1"/>
  <c r="B156" i="12"/>
  <c r="B122" i="13"/>
  <c r="E838" i="15" s="1"/>
  <c r="K838" i="15" s="1"/>
  <c r="B122" i="11"/>
  <c r="B122" i="10"/>
  <c r="B122" i="14"/>
  <c r="E118" i="15" s="1"/>
  <c r="K118" i="15" s="1"/>
  <c r="B122" i="12"/>
  <c r="E658" i="15" s="1"/>
  <c r="K658" i="15" s="1"/>
  <c r="B138" i="13"/>
  <c r="B138" i="11"/>
  <c r="E494" i="15" s="1"/>
  <c r="K494" i="15" s="1"/>
  <c r="B138" i="10"/>
  <c r="B138" i="14"/>
  <c r="E134" i="15" s="1"/>
  <c r="K134" i="15" s="1"/>
  <c r="B138" i="12"/>
  <c r="B158" i="13"/>
  <c r="E874" i="15" s="1"/>
  <c r="K874" i="15" s="1"/>
  <c r="B158" i="11"/>
  <c r="B158" i="12"/>
  <c r="B158" i="14"/>
  <c r="B158" i="10"/>
  <c r="B120" i="13"/>
  <c r="B120" i="11"/>
  <c r="E476" i="15" s="1"/>
  <c r="K476" i="15" s="1"/>
  <c r="B120" i="10"/>
  <c r="B120" i="12"/>
  <c r="B120" i="14"/>
  <c r="E116" i="15" s="1"/>
  <c r="K116" i="15" s="1"/>
  <c r="E289" i="15"/>
  <c r="K289" i="15" s="1"/>
  <c r="B113" i="10"/>
  <c r="B113" i="14"/>
  <c r="E109" i="15" s="1"/>
  <c r="K109" i="15" s="1"/>
  <c r="B113" i="12"/>
  <c r="B113" i="13"/>
  <c r="E829" i="15" s="1"/>
  <c r="K829" i="15" s="1"/>
  <c r="B113" i="11"/>
  <c r="E469" i="15" s="1"/>
  <c r="K469" i="15" s="1"/>
  <c r="B142" i="13"/>
  <c r="E858" i="15" s="1"/>
  <c r="K858" i="15" s="1"/>
  <c r="B142" i="11"/>
  <c r="B142" i="12"/>
  <c r="B142" i="10"/>
  <c r="B142" i="14"/>
  <c r="E138" i="15" s="1"/>
  <c r="K138" i="15" s="1"/>
  <c r="B136" i="13"/>
  <c r="B136" i="11"/>
  <c r="E492" i="15" s="1"/>
  <c r="K492" i="15" s="1"/>
  <c r="B136" i="10"/>
  <c r="B136" i="12"/>
  <c r="E672" i="15" s="1"/>
  <c r="K672" i="15" s="1"/>
  <c r="B136" i="14"/>
  <c r="B152" i="13"/>
  <c r="B152" i="11"/>
  <c r="B152" i="10"/>
  <c r="E328" i="15" s="1"/>
  <c r="K328" i="15" s="1"/>
  <c r="B152" i="12"/>
  <c r="E688" i="15" s="1"/>
  <c r="K688" i="15" s="1"/>
  <c r="B152" i="14"/>
  <c r="E148" i="15" s="1"/>
  <c r="K148" i="15" s="1"/>
  <c r="B118" i="13"/>
  <c r="B118" i="11"/>
  <c r="B118" i="12"/>
  <c r="B118" i="10"/>
  <c r="E294" i="15" s="1"/>
  <c r="K294" i="15" s="1"/>
  <c r="B118" i="14"/>
  <c r="B134" i="13"/>
  <c r="E850" i="15" s="1"/>
  <c r="K850" i="15" s="1"/>
  <c r="B134" i="11"/>
  <c r="B134" i="12"/>
  <c r="E670" i="15" s="1"/>
  <c r="K670" i="15" s="1"/>
  <c r="B134" i="10"/>
  <c r="B134" i="14"/>
  <c r="E130" i="15" s="1"/>
  <c r="K130" i="15" s="1"/>
  <c r="B154" i="13"/>
  <c r="B154" i="11"/>
  <c r="B154" i="10"/>
  <c r="B154" i="14"/>
  <c r="E150" i="15" s="1"/>
  <c r="K150" i="15" s="1"/>
  <c r="B154" i="12"/>
  <c r="E690" i="15" s="1"/>
  <c r="K690" i="15" s="1"/>
  <c r="B115" i="12"/>
  <c r="E651" i="15" s="1"/>
  <c r="K651" i="15" s="1"/>
  <c r="B115" i="10"/>
  <c r="E291" i="15" s="1"/>
  <c r="K291" i="15" s="1"/>
  <c r="B115" i="14"/>
  <c r="E111" i="15" s="1"/>
  <c r="K111" i="15" s="1"/>
  <c r="B115" i="11"/>
  <c r="E471" i="15" s="1"/>
  <c r="K471" i="15" s="1"/>
  <c r="B115" i="13"/>
  <c r="B106" i="13"/>
  <c r="E822" i="15" s="1"/>
  <c r="K822" i="15" s="1"/>
  <c r="B106" i="11"/>
  <c r="E462" i="15" s="1"/>
  <c r="K462" i="15" s="1"/>
  <c r="B106" i="10"/>
  <c r="E282" i="15" s="1"/>
  <c r="B106" i="14"/>
  <c r="B106" i="12"/>
  <c r="E642" i="15" s="1"/>
  <c r="K642" i="15" s="1"/>
  <c r="B108" i="11"/>
  <c r="E464" i="15" s="1"/>
  <c r="B108" i="13"/>
  <c r="E824" i="15" s="1"/>
  <c r="K824" i="15" s="1"/>
  <c r="B108" i="14"/>
  <c r="E104" i="15" s="1"/>
  <c r="K104" i="15" s="1"/>
  <c r="B108" i="12"/>
  <c r="E644" i="15" s="1"/>
  <c r="B108" i="10"/>
  <c r="E284" i="15" s="1"/>
  <c r="K284" i="15" s="1"/>
  <c r="H189" i="15"/>
  <c r="K189" i="15"/>
  <c r="G189" i="15"/>
  <c r="H395" i="15"/>
  <c r="K395" i="15"/>
  <c r="G395" i="15"/>
  <c r="B16" i="10"/>
  <c r="E192" i="15" s="1"/>
  <c r="K192" i="15" s="1"/>
  <c r="B16" i="12"/>
  <c r="E552" i="15" s="1"/>
  <c r="K552" i="15" s="1"/>
  <c r="B16" i="11"/>
  <c r="B16" i="14"/>
  <c r="E12" i="15" s="1"/>
  <c r="K12" i="15" s="1"/>
  <c r="B16" i="13"/>
  <c r="E732" i="15" s="1"/>
  <c r="K732" i="15" s="1"/>
  <c r="B56" i="10"/>
  <c r="E232" i="15" s="1"/>
  <c r="K232" i="15" s="1"/>
  <c r="B56" i="12"/>
  <c r="E592" i="15" s="1"/>
  <c r="K592" i="15" s="1"/>
  <c r="B56" i="13"/>
  <c r="B56" i="14"/>
  <c r="B56" i="11"/>
  <c r="E412" i="15" s="1"/>
  <c r="K412" i="15" s="1"/>
  <c r="B45" i="11"/>
  <c r="B45" i="13"/>
  <c r="E761" i="15" s="1"/>
  <c r="K761" i="15" s="1"/>
  <c r="B45" i="14"/>
  <c r="E41" i="15" s="1"/>
  <c r="K41" i="15" s="1"/>
  <c r="B45" i="10"/>
  <c r="E221" i="15" s="1"/>
  <c r="K221" i="15" s="1"/>
  <c r="B45" i="12"/>
  <c r="E581" i="15" s="1"/>
  <c r="K581" i="15" s="1"/>
  <c r="H207" i="15"/>
  <c r="G207" i="15"/>
  <c r="K207" i="15"/>
  <c r="B33" i="10"/>
  <c r="B33" i="12"/>
  <c r="E569" i="15" s="1"/>
  <c r="K569" i="15" s="1"/>
  <c r="B33" i="11"/>
  <c r="E389" i="15" s="1"/>
  <c r="K389" i="15" s="1"/>
  <c r="B33" i="13"/>
  <c r="E749" i="15" s="1"/>
  <c r="K749" i="15" s="1"/>
  <c r="B33" i="14"/>
  <c r="E29" i="15" s="1"/>
  <c r="K29" i="15" s="1"/>
  <c r="B63" i="10"/>
  <c r="E239" i="15" s="1"/>
  <c r="K239" i="15" s="1"/>
  <c r="B63" i="12"/>
  <c r="E599" i="15" s="1"/>
  <c r="K599" i="15" s="1"/>
  <c r="B63" i="11"/>
  <c r="E419" i="15" s="1"/>
  <c r="K419" i="15" s="1"/>
  <c r="B63" i="13"/>
  <c r="B63" i="14"/>
  <c r="B48" i="10"/>
  <c r="E224" i="15" s="1"/>
  <c r="K224" i="15" s="1"/>
  <c r="B48" i="12"/>
  <c r="E584" i="15" s="1"/>
  <c r="K584" i="15" s="1"/>
  <c r="B48" i="14"/>
  <c r="E44" i="15" s="1"/>
  <c r="K44" i="15" s="1"/>
  <c r="B48" i="13"/>
  <c r="B48" i="11"/>
  <c r="E404" i="15" s="1"/>
  <c r="K404" i="15" s="1"/>
  <c r="H377" i="15"/>
  <c r="K377" i="15"/>
  <c r="B34" i="10"/>
  <c r="B34" i="12"/>
  <c r="E570" i="15" s="1"/>
  <c r="K570" i="15" s="1"/>
  <c r="B34" i="11"/>
  <c r="E390" i="15" s="1"/>
  <c r="K390" i="15" s="1"/>
  <c r="B34" i="14"/>
  <c r="E30" i="15" s="1"/>
  <c r="K30" i="15" s="1"/>
  <c r="B34" i="13"/>
  <c r="B32" i="10"/>
  <c r="E208" i="15" s="1"/>
  <c r="K208" i="15" s="1"/>
  <c r="B32" i="12"/>
  <c r="E568" i="15" s="1"/>
  <c r="K568" i="15" s="1"/>
  <c r="B32" i="14"/>
  <c r="B32" i="11"/>
  <c r="B32" i="13"/>
  <c r="E748" i="15" s="1"/>
  <c r="K748" i="15" s="1"/>
  <c r="B64" i="10"/>
  <c r="E240" i="15" s="1"/>
  <c r="K240" i="15" s="1"/>
  <c r="B64" i="12"/>
  <c r="E600" i="15" s="1"/>
  <c r="K600" i="15" s="1"/>
  <c r="B64" i="11"/>
  <c r="E420" i="15" s="1"/>
  <c r="K420" i="15" s="1"/>
  <c r="B64" i="14"/>
  <c r="E60" i="15" s="1"/>
  <c r="K60" i="15" s="1"/>
  <c r="B64" i="13"/>
  <c r="E780" i="15" s="1"/>
  <c r="K780" i="15" s="1"/>
  <c r="B15" i="10"/>
  <c r="B15" i="11"/>
  <c r="B15" i="13"/>
  <c r="E731" i="15" s="1"/>
  <c r="K731" i="15" s="1"/>
  <c r="B15" i="14"/>
  <c r="E11" i="15" s="1"/>
  <c r="K11" i="15" s="1"/>
  <c r="B15" i="12"/>
  <c r="E551" i="15" s="1"/>
  <c r="K551" i="15" s="1"/>
  <c r="B30" i="11"/>
  <c r="B30" i="13"/>
  <c r="E746" i="15" s="1"/>
  <c r="K746" i="15" s="1"/>
  <c r="B30" i="14"/>
  <c r="E26" i="15" s="1"/>
  <c r="K26" i="15" s="1"/>
  <c r="B30" i="10"/>
  <c r="B30" i="12"/>
  <c r="B28" i="11"/>
  <c r="E384" i="15" s="1"/>
  <c r="K384" i="15" s="1"/>
  <c r="B28" i="13"/>
  <c r="E744" i="15" s="1"/>
  <c r="K744" i="15" s="1"/>
  <c r="B28" i="14"/>
  <c r="E24" i="15" s="1"/>
  <c r="K24" i="15" s="1"/>
  <c r="B28" i="10"/>
  <c r="E204" i="15" s="1"/>
  <c r="K204" i="15" s="1"/>
  <c r="B28" i="12"/>
  <c r="E564" i="15" s="1"/>
  <c r="K564" i="15" s="1"/>
  <c r="B43" i="11"/>
  <c r="B43" i="10"/>
  <c r="B43" i="12"/>
  <c r="E579" i="15" s="1"/>
  <c r="K579" i="15" s="1"/>
  <c r="B43" i="13"/>
  <c r="E759" i="15" s="1"/>
  <c r="K759" i="15" s="1"/>
  <c r="B43" i="14"/>
  <c r="E39" i="15" s="1"/>
  <c r="K39" i="15" s="1"/>
  <c r="B60" i="11"/>
  <c r="E416" i="15" s="1"/>
  <c r="K416" i="15" s="1"/>
  <c r="B60" i="13"/>
  <c r="E776" i="15" s="1"/>
  <c r="K776" i="15" s="1"/>
  <c r="B60" i="14"/>
  <c r="E56" i="15" s="1"/>
  <c r="K56" i="15" s="1"/>
  <c r="B60" i="10"/>
  <c r="E236" i="15" s="1"/>
  <c r="K236" i="15" s="1"/>
  <c r="B60" i="12"/>
  <c r="B58" i="10"/>
  <c r="B58" i="12"/>
  <c r="E594" i="15" s="1"/>
  <c r="K594" i="15" s="1"/>
  <c r="B58" i="11"/>
  <c r="E414" i="15" s="1"/>
  <c r="K414" i="15" s="1"/>
  <c r="B58" i="13"/>
  <c r="E774" i="15" s="1"/>
  <c r="K774" i="15" s="1"/>
  <c r="B58" i="14"/>
  <c r="E54" i="15" s="1"/>
  <c r="K54" i="15" s="1"/>
  <c r="B26" i="10"/>
  <c r="E202" i="15" s="1"/>
  <c r="K202" i="15" s="1"/>
  <c r="B26" i="12"/>
  <c r="E562" i="15" s="1"/>
  <c r="K562" i="15" s="1"/>
  <c r="B26" i="11"/>
  <c r="B26" i="13"/>
  <c r="B26" i="14"/>
  <c r="E22" i="15" s="1"/>
  <c r="K22" i="15" s="1"/>
  <c r="B47" i="10"/>
  <c r="E223" i="15" s="1"/>
  <c r="K223" i="15" s="1"/>
  <c r="B47" i="12"/>
  <c r="E583" i="15" s="1"/>
  <c r="K583" i="15" s="1"/>
  <c r="B47" i="11"/>
  <c r="B47" i="13"/>
  <c r="E763" i="15" s="1"/>
  <c r="K763" i="15" s="1"/>
  <c r="B47" i="14"/>
  <c r="B62" i="11"/>
  <c r="B62" i="13"/>
  <c r="E778" i="15" s="1"/>
  <c r="K778" i="15" s="1"/>
  <c r="B62" i="14"/>
  <c r="E58" i="15" s="1"/>
  <c r="K58" i="15" s="1"/>
  <c r="B62" i="10"/>
  <c r="E238" i="15" s="1"/>
  <c r="K238" i="15" s="1"/>
  <c r="B62" i="12"/>
  <c r="E598" i="15" s="1"/>
  <c r="K598" i="15" s="1"/>
  <c r="B19" i="11"/>
  <c r="B19" i="10"/>
  <c r="E195" i="15" s="1"/>
  <c r="K195" i="15" s="1"/>
  <c r="B19" i="12"/>
  <c r="E555" i="15" s="1"/>
  <c r="K555" i="15" s="1"/>
  <c r="B19" i="13"/>
  <c r="B19" i="14"/>
  <c r="B41" i="10"/>
  <c r="E217" i="15" s="1"/>
  <c r="K217" i="15" s="1"/>
  <c r="B41" i="12"/>
  <c r="E577" i="15" s="1"/>
  <c r="K577" i="15" s="1"/>
  <c r="B41" i="11"/>
  <c r="E397" i="15" s="1"/>
  <c r="K397" i="15" s="1"/>
  <c r="B41" i="13"/>
  <c r="E757" i="15" s="1"/>
  <c r="K757" i="15" s="1"/>
  <c r="B41" i="14"/>
  <c r="E37" i="15" s="1"/>
  <c r="K37" i="15" s="1"/>
  <c r="B50" i="11"/>
  <c r="E406" i="15" s="1"/>
  <c r="B50" i="10"/>
  <c r="B50" i="12"/>
  <c r="B50" i="13"/>
  <c r="E766" i="15" s="1"/>
  <c r="K766" i="15" s="1"/>
  <c r="B50" i="14"/>
  <c r="E46" i="15" s="1"/>
  <c r="K46" i="15" s="1"/>
  <c r="B53" i="11"/>
  <c r="E409" i="15" s="1"/>
  <c r="K409" i="15" s="1"/>
  <c r="B53" i="13"/>
  <c r="B53" i="14"/>
  <c r="E49" i="15" s="1"/>
  <c r="K49" i="15" s="1"/>
  <c r="B53" i="10"/>
  <c r="E229" i="15" s="1"/>
  <c r="K229" i="15" s="1"/>
  <c r="B53" i="12"/>
  <c r="B71" i="10"/>
  <c r="B71" i="11"/>
  <c r="E427" i="15" s="1"/>
  <c r="K427" i="15" s="1"/>
  <c r="B71" i="13"/>
  <c r="E787" i="15" s="1"/>
  <c r="K787" i="15" s="1"/>
  <c r="B71" i="14"/>
  <c r="E67" i="15" s="1"/>
  <c r="K67" i="15" s="1"/>
  <c r="B71" i="12"/>
  <c r="E607" i="15" s="1"/>
  <c r="K607" i="15" s="1"/>
  <c r="B69" i="11"/>
  <c r="E425" i="15" s="1"/>
  <c r="K425" i="15" s="1"/>
  <c r="B69" i="13"/>
  <c r="E785" i="15" s="1"/>
  <c r="K785" i="15" s="1"/>
  <c r="B69" i="14"/>
  <c r="B69" i="10"/>
  <c r="E245" i="15" s="1"/>
  <c r="K245" i="15" s="1"/>
  <c r="B69" i="12"/>
  <c r="E605" i="15" s="1"/>
  <c r="K605" i="15" s="1"/>
  <c r="B23" i="10"/>
  <c r="E199" i="15" s="1"/>
  <c r="K199" i="15" s="1"/>
  <c r="B23" i="11"/>
  <c r="E379" i="15" s="1"/>
  <c r="K379" i="15" s="1"/>
  <c r="B23" i="13"/>
  <c r="E739" i="15" s="1"/>
  <c r="K739" i="15" s="1"/>
  <c r="B23" i="14"/>
  <c r="E19" i="15" s="1"/>
  <c r="K19" i="15" s="1"/>
  <c r="B23" i="12"/>
  <c r="E559" i="15" s="1"/>
  <c r="K559" i="15" s="1"/>
  <c r="B37" i="11"/>
  <c r="B37" i="13"/>
  <c r="E753" i="15" s="1"/>
  <c r="K753" i="15" s="1"/>
  <c r="B37" i="14"/>
  <c r="E33" i="15" s="1"/>
  <c r="K33" i="15" s="1"/>
  <c r="B37" i="10"/>
  <c r="E213" i="15" s="1"/>
  <c r="K213" i="15" s="1"/>
  <c r="B37" i="12"/>
  <c r="E573" i="15" s="1"/>
  <c r="K573" i="15" s="1"/>
  <c r="B46" i="11"/>
  <c r="B46" i="13"/>
  <c r="E762" i="15" s="1"/>
  <c r="K762" i="15" s="1"/>
  <c r="B46" i="14"/>
  <c r="E42" i="15" s="1"/>
  <c r="K42" i="15" s="1"/>
  <c r="B46" i="10"/>
  <c r="B46" i="12"/>
  <c r="E582" i="15" s="1"/>
  <c r="K582" i="15" s="1"/>
  <c r="B49" i="10"/>
  <c r="E225" i="15" s="1"/>
  <c r="K225" i="15" s="1"/>
  <c r="B49" i="12"/>
  <c r="E585" i="15" s="1"/>
  <c r="K585" i="15" s="1"/>
  <c r="B49" i="11"/>
  <c r="E405" i="15" s="1"/>
  <c r="K405" i="15" s="1"/>
  <c r="B49" i="13"/>
  <c r="B49" i="14"/>
  <c r="B67" i="11"/>
  <c r="E423" i="15" s="1"/>
  <c r="K423" i="15" s="1"/>
  <c r="B67" i="13"/>
  <c r="B67" i="10"/>
  <c r="E243" i="15" s="1"/>
  <c r="K243" i="15" s="1"/>
  <c r="B67" i="12"/>
  <c r="E603" i="15" s="1"/>
  <c r="K603" i="15" s="1"/>
  <c r="B67" i="14"/>
  <c r="E63" i="15" s="1"/>
  <c r="K63" i="15" s="1"/>
  <c r="B61" i="11"/>
  <c r="E417" i="15" s="1"/>
  <c r="K417" i="15" s="1"/>
  <c r="B61" i="13"/>
  <c r="E777" i="15" s="1"/>
  <c r="K777" i="15" s="1"/>
  <c r="B61" i="14"/>
  <c r="E57" i="15" s="1"/>
  <c r="K57" i="15" s="1"/>
  <c r="B61" i="10"/>
  <c r="E237" i="15" s="1"/>
  <c r="K237" i="15" s="1"/>
  <c r="B61" i="12"/>
  <c r="B20" i="11"/>
  <c r="E376" i="15" s="1"/>
  <c r="K376" i="15" s="1"/>
  <c r="B20" i="13"/>
  <c r="E736" i="15" s="1"/>
  <c r="K736" i="15" s="1"/>
  <c r="B20" i="14"/>
  <c r="E16" i="15" s="1"/>
  <c r="K16" i="15" s="1"/>
  <c r="B20" i="10"/>
  <c r="E196" i="15" s="1"/>
  <c r="K196" i="15" s="1"/>
  <c r="B20" i="12"/>
  <c r="B52" i="11"/>
  <c r="E408" i="15" s="1"/>
  <c r="K408" i="15" s="1"/>
  <c r="B52" i="13"/>
  <c r="E768" i="15" s="1"/>
  <c r="K768" i="15" s="1"/>
  <c r="B52" i="14"/>
  <c r="B52" i="10"/>
  <c r="E228" i="15" s="1"/>
  <c r="K228" i="15" s="1"/>
  <c r="B52" i="12"/>
  <c r="E588" i="15" s="1"/>
  <c r="B18" i="10"/>
  <c r="E194" i="15" s="1"/>
  <c r="K194" i="15" s="1"/>
  <c r="B18" i="12"/>
  <c r="E554" i="15" s="1"/>
  <c r="K554" i="15" s="1"/>
  <c r="B18" i="11"/>
  <c r="E374" i="15" s="1"/>
  <c r="K374" i="15" s="1"/>
  <c r="B18" i="14"/>
  <c r="E14" i="15" s="1"/>
  <c r="K14" i="15" s="1"/>
  <c r="B18" i="13"/>
  <c r="E734" i="15" s="1"/>
  <c r="K734" i="15" s="1"/>
  <c r="B24" i="10"/>
  <c r="B24" i="12"/>
  <c r="E560" i="15" s="1"/>
  <c r="K560" i="15" s="1"/>
  <c r="B24" i="11"/>
  <c r="E380" i="15" s="1"/>
  <c r="K380" i="15" s="1"/>
  <c r="B24" i="13"/>
  <c r="E740" i="15" s="1"/>
  <c r="K740" i="15" s="1"/>
  <c r="B24" i="14"/>
  <c r="E20" i="15" s="1"/>
  <c r="K20" i="15" s="1"/>
  <c r="B40" i="10"/>
  <c r="E216" i="15" s="1"/>
  <c r="K216" i="15" s="1"/>
  <c r="B40" i="12"/>
  <c r="E576" i="15" s="1"/>
  <c r="K576" i="15" s="1"/>
  <c r="B40" i="14"/>
  <c r="E36" i="15" s="1"/>
  <c r="K36" i="15" s="1"/>
  <c r="B40" i="13"/>
  <c r="B40" i="11"/>
  <c r="B55" i="10"/>
  <c r="E231" i="15" s="1"/>
  <c r="K231" i="15" s="1"/>
  <c r="B55" i="11"/>
  <c r="E411" i="15" s="1"/>
  <c r="K411" i="15" s="1"/>
  <c r="B55" i="13"/>
  <c r="E771" i="15" s="1"/>
  <c r="K771" i="15" s="1"/>
  <c r="B55" i="14"/>
  <c r="B55" i="12"/>
  <c r="E591" i="15" s="1"/>
  <c r="K591" i="15" s="1"/>
  <c r="B44" i="11"/>
  <c r="E400" i="15" s="1"/>
  <c r="K400" i="15" s="1"/>
  <c r="B44" i="13"/>
  <c r="B44" i="14"/>
  <c r="E40" i="15" s="1"/>
  <c r="K40" i="15" s="1"/>
  <c r="B44" i="10"/>
  <c r="E220" i="15" s="1"/>
  <c r="B44" i="12"/>
  <c r="E580" i="15" s="1"/>
  <c r="K580" i="15" s="1"/>
  <c r="B70" i="10"/>
  <c r="E246" i="15" s="1"/>
  <c r="K246" i="15" s="1"/>
  <c r="B70" i="11"/>
  <c r="E426" i="15" s="1"/>
  <c r="K426" i="15" s="1"/>
  <c r="B70" i="13"/>
  <c r="E786" i="15" s="1"/>
  <c r="K786" i="15" s="1"/>
  <c r="B70" i="14"/>
  <c r="E66" i="15" s="1"/>
  <c r="K66" i="15" s="1"/>
  <c r="B70" i="12"/>
  <c r="B29" i="11"/>
  <c r="E385" i="15" s="1"/>
  <c r="K385" i="15" s="1"/>
  <c r="B29" i="13"/>
  <c r="E745" i="15" s="1"/>
  <c r="K745" i="15" s="1"/>
  <c r="B29" i="14"/>
  <c r="E25" i="15" s="1"/>
  <c r="K25" i="15" s="1"/>
  <c r="B29" i="10"/>
  <c r="E205" i="15" s="1"/>
  <c r="K205" i="15" s="1"/>
  <c r="B29" i="12"/>
  <c r="B59" i="11"/>
  <c r="E415" i="15" s="1"/>
  <c r="K415" i="15" s="1"/>
  <c r="B59" i="10"/>
  <c r="E235" i="15" s="1"/>
  <c r="K235" i="15" s="1"/>
  <c r="B59" i="12"/>
  <c r="B59" i="14"/>
  <c r="E55" i="15" s="1"/>
  <c r="K55" i="15" s="1"/>
  <c r="B59" i="13"/>
  <c r="E775" i="15" s="1"/>
  <c r="K775" i="15" s="1"/>
  <c r="B22" i="10"/>
  <c r="E198" i="15" s="1"/>
  <c r="K198" i="15" s="1"/>
  <c r="B22" i="11"/>
  <c r="E378" i="15" s="1"/>
  <c r="K378" i="15" s="1"/>
  <c r="B22" i="13"/>
  <c r="B22" i="14"/>
  <c r="E18" i="15" s="1"/>
  <c r="K18" i="15" s="1"/>
  <c r="B22" i="12"/>
  <c r="E558" i="15" s="1"/>
  <c r="B14" i="11"/>
  <c r="B14" i="13"/>
  <c r="B14" i="14"/>
  <c r="E10" i="15" s="1"/>
  <c r="B14" i="10"/>
  <c r="E190" i="15" s="1"/>
  <c r="B14" i="12"/>
  <c r="E550" i="15" s="1"/>
  <c r="K550" i="15" s="1"/>
  <c r="B36" i="11"/>
  <c r="E392" i="15" s="1"/>
  <c r="K392" i="15" s="1"/>
  <c r="B36" i="13"/>
  <c r="E752" i="15" s="1"/>
  <c r="K752" i="15" s="1"/>
  <c r="B36" i="14"/>
  <c r="E32" i="15" s="1"/>
  <c r="K32" i="15" s="1"/>
  <c r="B36" i="10"/>
  <c r="B36" i="12"/>
  <c r="B51" i="11"/>
  <c r="E407" i="15" s="1"/>
  <c r="K407" i="15" s="1"/>
  <c r="B51" i="13"/>
  <c r="E767" i="15" s="1"/>
  <c r="K767" i="15" s="1"/>
  <c r="B51" i="10"/>
  <c r="E227" i="15" s="1"/>
  <c r="K227" i="15" s="1"/>
  <c r="B51" i="12"/>
  <c r="B51" i="14"/>
  <c r="E47" i="15" s="1"/>
  <c r="K47" i="15" s="1"/>
  <c r="B68" i="11"/>
  <c r="E424" i="15" s="1"/>
  <c r="K424" i="15" s="1"/>
  <c r="B68" i="13"/>
  <c r="B68" i="14"/>
  <c r="B68" i="10"/>
  <c r="E244" i="15" s="1"/>
  <c r="K244" i="15" s="1"/>
  <c r="B68" i="12"/>
  <c r="E604" i="15" s="1"/>
  <c r="K604" i="15" s="1"/>
  <c r="B66" i="11"/>
  <c r="E422" i="15" s="1"/>
  <c r="K422" i="15" s="1"/>
  <c r="B66" i="10"/>
  <c r="E242" i="15" s="1"/>
  <c r="K242" i="15" s="1"/>
  <c r="B66" i="12"/>
  <c r="E602" i="15" s="1"/>
  <c r="K602" i="15" s="1"/>
  <c r="B66" i="14"/>
  <c r="E62" i="15" s="1"/>
  <c r="K62" i="15" s="1"/>
  <c r="B66" i="13"/>
  <c r="B54" i="10"/>
  <c r="E230" i="15" s="1"/>
  <c r="K230" i="15" s="1"/>
  <c r="B54" i="11"/>
  <c r="E410" i="15" s="1"/>
  <c r="K410" i="15" s="1"/>
  <c r="B54" i="13"/>
  <c r="E770" i="15" s="1"/>
  <c r="K770" i="15" s="1"/>
  <c r="B54" i="14"/>
  <c r="E50" i="15" s="1"/>
  <c r="K50" i="15" s="1"/>
  <c r="B54" i="12"/>
  <c r="I334" i="4"/>
  <c r="I326" i="4"/>
  <c r="I262" i="4"/>
  <c r="I254" i="4"/>
  <c r="I94" i="4"/>
  <c r="I86" i="4"/>
  <c r="I78" i="4"/>
  <c r="I70" i="4"/>
  <c r="I62" i="4"/>
  <c r="I54" i="4"/>
  <c r="I333" i="4"/>
  <c r="I325" i="4"/>
  <c r="I261" i="4"/>
  <c r="I253" i="4"/>
  <c r="I93" i="4"/>
  <c r="I85" i="4"/>
  <c r="I332" i="4"/>
  <c r="I324" i="4"/>
  <c r="I260" i="4"/>
  <c r="I252" i="4"/>
  <c r="I92" i="4"/>
  <c r="I84" i="4"/>
  <c r="I76" i="4"/>
  <c r="I68" i="4"/>
  <c r="I60" i="4"/>
  <c r="I331" i="4"/>
  <c r="I323" i="4"/>
  <c r="I259" i="4"/>
  <c r="I251" i="4"/>
  <c r="I91" i="4"/>
  <c r="I83" i="4"/>
  <c r="I330" i="4"/>
  <c r="I258" i="4"/>
  <c r="I250" i="4"/>
  <c r="I90" i="4"/>
  <c r="I82" i="4"/>
  <c r="I74" i="4"/>
  <c r="I66" i="4"/>
  <c r="I58" i="4"/>
  <c r="I337" i="4"/>
  <c r="I329" i="4"/>
  <c r="I257" i="4"/>
  <c r="I249" i="4"/>
  <c r="I97" i="4"/>
  <c r="I89" i="4"/>
  <c r="I81" i="4"/>
  <c r="I73" i="4"/>
  <c r="I65" i="4"/>
  <c r="I57" i="4"/>
  <c r="I327" i="4"/>
  <c r="I75" i="4"/>
  <c r="I59" i="4"/>
  <c r="I256" i="4"/>
  <c r="I96" i="4"/>
  <c r="I72" i="4"/>
  <c r="I56" i="4"/>
  <c r="I248" i="4"/>
  <c r="I69" i="4"/>
  <c r="I79" i="4"/>
  <c r="I328" i="4"/>
  <c r="I77" i="4"/>
  <c r="I255" i="4"/>
  <c r="I95" i="4"/>
  <c r="I71" i="4"/>
  <c r="I55" i="4"/>
  <c r="I88" i="4"/>
  <c r="I53" i="4"/>
  <c r="I61" i="4"/>
  <c r="I87" i="4"/>
  <c r="I67" i="4"/>
  <c r="I336" i="4"/>
  <c r="I80" i="4"/>
  <c r="I64" i="4"/>
  <c r="I335" i="4"/>
  <c r="I63" i="4"/>
  <c r="G369" i="4"/>
  <c r="F358" i="4"/>
  <c r="F361" i="4"/>
  <c r="F350" i="4"/>
  <c r="G345" i="4"/>
  <c r="F344" i="4"/>
  <c r="F173" i="9"/>
  <c r="F26" i="7"/>
  <c r="G346" i="4"/>
  <c r="G372" i="4"/>
  <c r="F378" i="4"/>
  <c r="G317" i="4"/>
  <c r="G309" i="4"/>
  <c r="F342" i="4"/>
  <c r="F341" i="4"/>
  <c r="F340" i="4"/>
  <c r="G351" i="4"/>
  <c r="G320" i="4"/>
  <c r="E100" i="15"/>
  <c r="E110" i="15"/>
  <c r="E102" i="15"/>
  <c r="E649" i="15"/>
  <c r="K649" i="15" s="1"/>
  <c r="H626" i="15"/>
  <c r="G626" i="15"/>
  <c r="H85" i="15"/>
  <c r="G85" i="15"/>
  <c r="H810" i="15"/>
  <c r="G810" i="15"/>
  <c r="H269" i="15"/>
  <c r="G269" i="15"/>
  <c r="H274" i="15"/>
  <c r="G274" i="15"/>
  <c r="H93" i="15"/>
  <c r="G93" i="15"/>
  <c r="H806" i="15"/>
  <c r="G806" i="15"/>
  <c r="H265" i="15"/>
  <c r="G265" i="15"/>
  <c r="G90" i="15"/>
  <c r="H90" i="15"/>
  <c r="H449" i="15"/>
  <c r="G449" i="15"/>
  <c r="H454" i="15"/>
  <c r="G454" i="15"/>
  <c r="G633" i="15"/>
  <c r="H633" i="15"/>
  <c r="H266" i="15"/>
  <c r="G266" i="15"/>
  <c r="H86" i="15"/>
  <c r="G86" i="15"/>
  <c r="H631" i="15"/>
  <c r="G631" i="15"/>
  <c r="H445" i="15"/>
  <c r="G445" i="15"/>
  <c r="H450" i="15"/>
  <c r="G450" i="15"/>
  <c r="H95" i="15"/>
  <c r="G95" i="15"/>
  <c r="H815" i="15"/>
  <c r="G815" i="15"/>
  <c r="G629" i="15"/>
  <c r="H629" i="15"/>
  <c r="H814" i="15"/>
  <c r="G814" i="15"/>
  <c r="H273" i="15"/>
  <c r="G273" i="15"/>
  <c r="H813" i="15"/>
  <c r="G813" i="15"/>
  <c r="H627" i="15"/>
  <c r="G627" i="15"/>
  <c r="G271" i="15"/>
  <c r="H271" i="15"/>
  <c r="H805" i="15"/>
  <c r="G805" i="15"/>
  <c r="H275" i="15"/>
  <c r="G275" i="15"/>
  <c r="H87" i="15"/>
  <c r="G87" i="15"/>
  <c r="H451" i="15"/>
  <c r="G451" i="15"/>
  <c r="H270" i="15"/>
  <c r="G270" i="15"/>
  <c r="H635" i="15"/>
  <c r="G635" i="15"/>
  <c r="H634" i="15"/>
  <c r="G634" i="15"/>
  <c r="G447" i="15"/>
  <c r="H447" i="15"/>
  <c r="H446" i="15"/>
  <c r="G446" i="15"/>
  <c r="H91" i="15"/>
  <c r="G91" i="15"/>
  <c r="H811" i="15"/>
  <c r="G811" i="15"/>
  <c r="H625" i="15"/>
  <c r="G625" i="15"/>
  <c r="G630" i="15"/>
  <c r="H630" i="15"/>
  <c r="H455" i="15"/>
  <c r="G455" i="15"/>
  <c r="G89" i="15"/>
  <c r="H89" i="15"/>
  <c r="H809" i="15"/>
  <c r="G809" i="15"/>
  <c r="H94" i="15"/>
  <c r="G94" i="15"/>
  <c r="H453" i="15"/>
  <c r="G453" i="15"/>
  <c r="G267" i="15"/>
  <c r="H267" i="15"/>
  <c r="H807" i="15"/>
  <c r="G807" i="15"/>
  <c r="H429" i="15"/>
  <c r="G429" i="15"/>
  <c r="G434" i="15"/>
  <c r="H434" i="15"/>
  <c r="G793" i="15"/>
  <c r="H793" i="15"/>
  <c r="H253" i="15"/>
  <c r="G253" i="15"/>
  <c r="G798" i="15"/>
  <c r="H798" i="15"/>
  <c r="G621" i="15"/>
  <c r="H621" i="15"/>
  <c r="G77" i="15"/>
  <c r="H77" i="15"/>
  <c r="H82" i="15"/>
  <c r="G82" i="15"/>
  <c r="H622" i="15"/>
  <c r="G622" i="15"/>
  <c r="G792" i="15"/>
  <c r="H792" i="15"/>
  <c r="G250" i="15"/>
  <c r="H250" i="15"/>
  <c r="H436" i="15"/>
  <c r="G436" i="15"/>
  <c r="H69" i="15"/>
  <c r="G69" i="15"/>
  <c r="H254" i="15"/>
  <c r="G254" i="15"/>
  <c r="G613" i="15"/>
  <c r="H613" i="15"/>
  <c r="G78" i="15"/>
  <c r="H78" i="15"/>
  <c r="G618" i="15"/>
  <c r="H618" i="15"/>
  <c r="H441" i="15"/>
  <c r="G441" i="15"/>
  <c r="G617" i="15"/>
  <c r="H617" i="15"/>
  <c r="G442" i="15"/>
  <c r="H442" i="15"/>
  <c r="G72" i="15"/>
  <c r="H72" i="15"/>
  <c r="H612" i="15"/>
  <c r="G612" i="15"/>
  <c r="G790" i="15"/>
  <c r="H790" i="15"/>
  <c r="G76" i="15"/>
  <c r="H76" i="15"/>
  <c r="G789" i="15"/>
  <c r="H789" i="15"/>
  <c r="G249" i="15"/>
  <c r="H249" i="15"/>
  <c r="G794" i="15"/>
  <c r="H794" i="15"/>
  <c r="H433" i="15"/>
  <c r="G433" i="15"/>
  <c r="G438" i="15"/>
  <c r="H438" i="15"/>
  <c r="H801" i="15"/>
  <c r="G801" i="15"/>
  <c r="G261" i="15"/>
  <c r="H261" i="15"/>
  <c r="H437" i="15"/>
  <c r="G437" i="15"/>
  <c r="H262" i="15"/>
  <c r="G262" i="15"/>
  <c r="H252" i="15"/>
  <c r="G252" i="15"/>
  <c r="G430" i="15"/>
  <c r="H430" i="15"/>
  <c r="G610" i="15"/>
  <c r="H610" i="15"/>
  <c r="G796" i="15"/>
  <c r="H796" i="15"/>
  <c r="H609" i="15"/>
  <c r="G609" i="15"/>
  <c r="H74" i="15"/>
  <c r="G74" i="15"/>
  <c r="H614" i="15"/>
  <c r="G614" i="15"/>
  <c r="G73" i="15"/>
  <c r="H73" i="15"/>
  <c r="G258" i="15"/>
  <c r="H258" i="15"/>
  <c r="G81" i="15"/>
  <c r="H81" i="15"/>
  <c r="G797" i="15"/>
  <c r="H797" i="15"/>
  <c r="H257" i="15"/>
  <c r="G257" i="15"/>
  <c r="G802" i="15"/>
  <c r="H802" i="15"/>
  <c r="G432" i="15"/>
  <c r="H432" i="15"/>
  <c r="G70" i="15"/>
  <c r="H70" i="15"/>
  <c r="G256" i="15"/>
  <c r="H256" i="15"/>
  <c r="G616" i="15"/>
  <c r="H616" i="15"/>
  <c r="F367" i="4"/>
  <c r="G322" i="4"/>
  <c r="G370" i="4"/>
  <c r="G349" i="4"/>
  <c r="F357" i="4"/>
  <c r="G312" i="4"/>
  <c r="G313" i="4"/>
  <c r="F348" i="4"/>
  <c r="G352" i="4"/>
  <c r="F365" i="4"/>
  <c r="F356" i="4"/>
  <c r="F363" i="4"/>
  <c r="G374" i="4"/>
  <c r="F381" i="4"/>
  <c r="F377" i="4"/>
  <c r="G316" i="4"/>
  <c r="G321" i="4"/>
  <c r="D294" i="4"/>
  <c r="G294" i="4" s="1"/>
  <c r="D249" i="4"/>
  <c r="G249" i="4" s="1"/>
  <c r="D281" i="4"/>
  <c r="F281" i="4" s="1"/>
  <c r="D300" i="4"/>
  <c r="G300" i="4" s="1"/>
  <c r="D255" i="4"/>
  <c r="G255" i="4" s="1"/>
  <c r="D304" i="4"/>
  <c r="G304" i="4" s="1"/>
  <c r="D254" i="4"/>
  <c r="D288" i="4"/>
  <c r="F288" i="4" s="1"/>
  <c r="D258" i="4"/>
  <c r="D292" i="4"/>
  <c r="F292" i="4" s="1"/>
  <c r="D262" i="4"/>
  <c r="F262" i="4" s="1"/>
  <c r="D298" i="4"/>
  <c r="G298" i="4" s="1"/>
  <c r="D253" i="4"/>
  <c r="F253" i="4" s="1"/>
  <c r="D257" i="4"/>
  <c r="D252" i="4"/>
  <c r="D301" i="4"/>
  <c r="G301" i="4" s="1"/>
  <c r="D245" i="4"/>
  <c r="G245" i="4" s="1"/>
  <c r="D43" i="4"/>
  <c r="F43" i="4" s="1"/>
  <c r="D88" i="4"/>
  <c r="F88" i="4" s="1"/>
  <c r="D182" i="4"/>
  <c r="F182" i="4" s="1"/>
  <c r="D92" i="4"/>
  <c r="G92" i="4" s="1"/>
  <c r="D186" i="4"/>
  <c r="F186" i="4" s="1"/>
  <c r="D96" i="4"/>
  <c r="F96" i="4" s="1"/>
  <c r="D222" i="4"/>
  <c r="G222" i="4" s="1"/>
  <c r="D87" i="4"/>
  <c r="G87" i="4" s="1"/>
  <c r="D226" i="4"/>
  <c r="F226" i="4" s="1"/>
  <c r="D230" i="4"/>
  <c r="F230" i="4" s="1"/>
  <c r="D95" i="4"/>
  <c r="G95" i="4" s="1"/>
  <c r="D219" i="4"/>
  <c r="G219" i="4" s="1"/>
  <c r="D84" i="4"/>
  <c r="G84" i="4" s="1"/>
  <c r="D221" i="4"/>
  <c r="F221" i="4" s="1"/>
  <c r="D225" i="4"/>
  <c r="G225" i="4" s="1"/>
  <c r="D90" i="4"/>
  <c r="D220" i="4"/>
  <c r="F220" i="4" s="1"/>
  <c r="D85" i="4"/>
  <c r="G85" i="4" s="1"/>
  <c r="D179" i="4"/>
  <c r="F179" i="4" s="1"/>
  <c r="D89" i="4"/>
  <c r="F89" i="4" s="1"/>
  <c r="D228" i="4"/>
  <c r="F228" i="4" s="1"/>
  <c r="D52" i="4"/>
  <c r="F52" i="4" s="1"/>
  <c r="D97" i="4"/>
  <c r="F97" i="4" s="1"/>
  <c r="D204" i="4"/>
  <c r="F204" i="4" s="1"/>
  <c r="D69" i="4"/>
  <c r="F69" i="4" s="1"/>
  <c r="D116" i="4"/>
  <c r="G116" i="4" s="1"/>
  <c r="D71" i="4"/>
  <c r="G71" i="4" s="1"/>
  <c r="D120" i="4"/>
  <c r="G120" i="4" s="1"/>
  <c r="D75" i="4"/>
  <c r="F75" i="4" s="1"/>
  <c r="D124" i="4"/>
  <c r="G124" i="4" s="1"/>
  <c r="D79" i="4"/>
  <c r="G79" i="4" s="1"/>
  <c r="D28" i="4"/>
  <c r="G28" i="4" s="1"/>
  <c r="D73" i="4"/>
  <c r="F73" i="4" s="1"/>
  <c r="D122" i="4"/>
  <c r="F122" i="4" s="1"/>
  <c r="D77" i="4"/>
  <c r="G77" i="4" s="1"/>
  <c r="D36" i="4"/>
  <c r="F36" i="4" s="1"/>
  <c r="D81" i="4"/>
  <c r="F81" i="4" s="1"/>
  <c r="D207" i="4"/>
  <c r="F207" i="4" s="1"/>
  <c r="D72" i="4"/>
  <c r="F72" i="4" s="1"/>
  <c r="D31" i="4"/>
  <c r="G31" i="4" s="1"/>
  <c r="D76" i="4"/>
  <c r="F76" i="4" s="1"/>
  <c r="D215" i="4"/>
  <c r="G215" i="4" s="1"/>
  <c r="D80" i="4"/>
  <c r="G80" i="4" s="1"/>
  <c r="D115" i="4"/>
  <c r="G115" i="4" s="1"/>
  <c r="D70" i="4"/>
  <c r="G70" i="4" s="1"/>
  <c r="D119" i="4"/>
  <c r="G119" i="4" s="1"/>
  <c r="D74" i="4"/>
  <c r="F74" i="4" s="1"/>
  <c r="D123" i="4"/>
  <c r="G123" i="4" s="1"/>
  <c r="D78" i="4"/>
  <c r="F78" i="4" s="1"/>
  <c r="D127" i="4"/>
  <c r="F127" i="4" s="1"/>
  <c r="D82" i="4"/>
  <c r="G82" i="4" s="1"/>
  <c r="D54" i="4"/>
  <c r="D101" i="4"/>
  <c r="G101" i="4" s="1"/>
  <c r="D56" i="4"/>
  <c r="F56" i="4" s="1"/>
  <c r="D105" i="4"/>
  <c r="G105" i="4" s="1"/>
  <c r="D60" i="4"/>
  <c r="G60" i="4" s="1"/>
  <c r="D109" i="4"/>
  <c r="D190" i="4"/>
  <c r="F190" i="4" s="1"/>
  <c r="D14" i="4"/>
  <c r="G14" i="4" s="1"/>
  <c r="D59" i="4"/>
  <c r="F59" i="4" s="1"/>
  <c r="D198" i="4"/>
  <c r="F198" i="4" s="1"/>
  <c r="D63" i="4"/>
  <c r="F63" i="4" s="1"/>
  <c r="D22" i="4"/>
  <c r="G22" i="4" s="1"/>
  <c r="D58" i="4"/>
  <c r="D62" i="4"/>
  <c r="D66" i="4"/>
  <c r="D102" i="4"/>
  <c r="F102" i="4" s="1"/>
  <c r="D57" i="4"/>
  <c r="G57" i="4" s="1"/>
  <c r="D106" i="4"/>
  <c r="G106" i="4" s="1"/>
  <c r="D61" i="4"/>
  <c r="G61" i="4" s="1"/>
  <c r="D110" i="4"/>
  <c r="G110" i="4" s="1"/>
  <c r="D65" i="4"/>
  <c r="F65" i="4" s="1"/>
  <c r="E5" i="4"/>
  <c r="H382" i="4"/>
  <c r="H378" i="4"/>
  <c r="H374" i="4"/>
  <c r="H370" i="4"/>
  <c r="H366" i="4"/>
  <c r="H362" i="4"/>
  <c r="H358" i="4"/>
  <c r="H354" i="4"/>
  <c r="H350" i="4"/>
  <c r="H346" i="4"/>
  <c r="H342" i="4"/>
  <c r="H338" i="4"/>
  <c r="H334" i="4"/>
  <c r="H330" i="4"/>
  <c r="H326" i="4"/>
  <c r="H322" i="4"/>
  <c r="H318" i="4"/>
  <c r="H314" i="4"/>
  <c r="H310" i="4"/>
  <c r="H381" i="4"/>
  <c r="H377" i="4"/>
  <c r="H373" i="4"/>
  <c r="H369" i="4"/>
  <c r="H365" i="4"/>
  <c r="H361" i="4"/>
  <c r="H357" i="4"/>
  <c r="H353" i="4"/>
  <c r="H349" i="4"/>
  <c r="H345" i="4"/>
  <c r="H341" i="4"/>
  <c r="H337" i="4"/>
  <c r="H333" i="4"/>
  <c r="H329" i="4"/>
  <c r="H325" i="4"/>
  <c r="H321" i="4"/>
  <c r="H317" i="4"/>
  <c r="H313" i="4"/>
  <c r="H309" i="4"/>
  <c r="H380" i="4"/>
  <c r="H376" i="4"/>
  <c r="H372" i="4"/>
  <c r="H368" i="4"/>
  <c r="H364" i="4"/>
  <c r="H360" i="4"/>
  <c r="H356" i="4"/>
  <c r="H352" i="4"/>
  <c r="H348" i="4"/>
  <c r="H344" i="4"/>
  <c r="H340" i="4"/>
  <c r="H336" i="4"/>
  <c r="H332" i="4"/>
  <c r="H328" i="4"/>
  <c r="H324" i="4"/>
  <c r="H320" i="4"/>
  <c r="H316" i="4"/>
  <c r="H312" i="4"/>
  <c r="H308" i="4"/>
  <c r="H379" i="4"/>
  <c r="H375" i="4"/>
  <c r="H371" i="4"/>
  <c r="H367" i="4"/>
  <c r="H363" i="4"/>
  <c r="H359" i="4"/>
  <c r="H355" i="4"/>
  <c r="H351" i="4"/>
  <c r="H347" i="4"/>
  <c r="H343" i="4"/>
  <c r="H339" i="4"/>
  <c r="H335" i="4"/>
  <c r="H331" i="4"/>
  <c r="H327" i="4"/>
  <c r="H323" i="4"/>
  <c r="H319" i="4"/>
  <c r="H315" i="4"/>
  <c r="H311" i="4"/>
  <c r="H188" i="15"/>
  <c r="G188" i="15"/>
  <c r="G110" i="15"/>
  <c r="H143" i="15"/>
  <c r="G143" i="15"/>
  <c r="H53" i="15"/>
  <c r="G53" i="15"/>
  <c r="G8" i="15"/>
  <c r="H8" i="15"/>
  <c r="H27" i="15"/>
  <c r="G27" i="15"/>
  <c r="H729" i="15"/>
  <c r="G729" i="15"/>
  <c r="H17" i="15"/>
  <c r="G17" i="15"/>
  <c r="H203" i="15"/>
  <c r="G203" i="15"/>
  <c r="H645" i="15"/>
  <c r="G668" i="15"/>
  <c r="H668" i="15"/>
  <c r="H578" i="15"/>
  <c r="G578" i="15"/>
  <c r="H472" i="15"/>
  <c r="H468" i="15"/>
  <c r="G468" i="15"/>
  <c r="H473" i="15"/>
  <c r="G473" i="15"/>
  <c r="H383" i="15"/>
  <c r="G383" i="15"/>
  <c r="H61" i="15"/>
  <c r="G61" i="15"/>
  <c r="H278" i="15"/>
  <c r="G278" i="15"/>
  <c r="H197" i="15"/>
  <c r="G197" i="15"/>
  <c r="H638" i="15"/>
  <c r="G638" i="15"/>
  <c r="M15" i="15" a="1"/>
  <c r="M15" i="15" s="1"/>
  <c r="M26" i="15" a="1"/>
  <c r="M26" i="15" s="1"/>
  <c r="M18" i="15" a="1"/>
  <c r="M18" i="15" s="1"/>
  <c r="M19" i="15" a="1"/>
  <c r="M19" i="15" s="1"/>
  <c r="M10" i="15" a="1"/>
  <c r="M10" i="15" s="1"/>
  <c r="M8" i="15" a="1"/>
  <c r="M8" i="15" s="1"/>
  <c r="M11" i="15" a="1"/>
  <c r="M11" i="15" s="1"/>
  <c r="M9" i="15" a="1"/>
  <c r="M9" i="15" s="1"/>
  <c r="M14" i="15" a="1"/>
  <c r="M14" i="15" s="1"/>
  <c r="H571" i="15"/>
  <c r="G571" i="15"/>
  <c r="H741" i="15"/>
  <c r="G741" i="15"/>
  <c r="G733" i="15"/>
  <c r="H733" i="15"/>
  <c r="H516" i="15"/>
  <c r="G516" i="15"/>
  <c r="H214" i="15"/>
  <c r="G214" i="15"/>
  <c r="H34" i="15"/>
  <c r="G34" i="15"/>
  <c r="H862" i="15"/>
  <c r="G862" i="15"/>
  <c r="H484" i="15"/>
  <c r="G484" i="15"/>
  <c r="H323" i="15"/>
  <c r="G323" i="15"/>
  <c r="H470" i="15"/>
  <c r="G470" i="15"/>
  <c r="G466" i="15"/>
  <c r="H462" i="15"/>
  <c r="G462" i="15"/>
  <c r="H503" i="15"/>
  <c r="G503" i="15"/>
  <c r="H413" i="15"/>
  <c r="G413" i="15"/>
  <c r="H368" i="15"/>
  <c r="G368" i="15"/>
  <c r="H567" i="15"/>
  <c r="G567" i="15"/>
  <c r="H9" i="15"/>
  <c r="G9" i="15"/>
  <c r="H381" i="15"/>
  <c r="G381" i="15"/>
  <c r="G829" i="15"/>
  <c r="H825" i="15"/>
  <c r="G825" i="15"/>
  <c r="H641" i="15"/>
  <c r="G641" i="15"/>
  <c r="G848" i="15"/>
  <c r="H848" i="15"/>
  <c r="H758" i="15"/>
  <c r="G758" i="15"/>
  <c r="H652" i="15"/>
  <c r="G648" i="15"/>
  <c r="H648" i="15"/>
  <c r="H644" i="15"/>
  <c r="G644" i="15"/>
  <c r="G640" i="15"/>
  <c r="H653" i="15"/>
  <c r="G653" i="15"/>
  <c r="H563" i="15"/>
  <c r="G563" i="15"/>
  <c r="H421" i="15"/>
  <c r="G421" i="15"/>
  <c r="H575" i="15"/>
  <c r="G575" i="15"/>
  <c r="H211" i="15"/>
  <c r="G211" i="15"/>
  <c r="H201" i="15"/>
  <c r="G201" i="15"/>
  <c r="H818" i="15"/>
  <c r="G818" i="15"/>
  <c r="H751" i="15"/>
  <c r="G751" i="15"/>
  <c r="H21" i="15"/>
  <c r="G21" i="15"/>
  <c r="H13" i="15"/>
  <c r="G13" i="15"/>
  <c r="G696" i="15"/>
  <c r="H696" i="15"/>
  <c r="H394" i="15"/>
  <c r="G394" i="15"/>
  <c r="H502" i="15"/>
  <c r="G502" i="15"/>
  <c r="H142" i="15"/>
  <c r="G142" i="15"/>
  <c r="G844" i="15"/>
  <c r="H844" i="15"/>
  <c r="H233" i="15"/>
  <c r="G233" i="15"/>
  <c r="G646" i="15"/>
  <c r="H646" i="15"/>
  <c r="H683" i="15"/>
  <c r="G683" i="15"/>
  <c r="G593" i="15"/>
  <c r="H593" i="15"/>
  <c r="H548" i="15"/>
  <c r="G548" i="15"/>
  <c r="H387" i="15"/>
  <c r="G387" i="15"/>
  <c r="H369" i="15"/>
  <c r="G369" i="15"/>
  <c r="G737" i="15"/>
  <c r="H737" i="15"/>
  <c r="H288" i="15"/>
  <c r="G288" i="15"/>
  <c r="G109" i="15"/>
  <c r="G105" i="15"/>
  <c r="H101" i="15"/>
  <c r="G101" i="15"/>
  <c r="H128" i="15"/>
  <c r="G128" i="15"/>
  <c r="G38" i="15"/>
  <c r="H38" i="15"/>
  <c r="H293" i="15"/>
  <c r="G293" i="15"/>
  <c r="H832" i="15"/>
  <c r="G828" i="15"/>
  <c r="H828" i="15"/>
  <c r="G833" i="15"/>
  <c r="H833" i="15"/>
  <c r="H743" i="15"/>
  <c r="G743" i="15"/>
  <c r="H601" i="15"/>
  <c r="G601" i="15"/>
  <c r="H35" i="15"/>
  <c r="G35" i="15"/>
  <c r="H215" i="15"/>
  <c r="G215" i="15"/>
  <c r="H98" i="15"/>
  <c r="G98" i="15"/>
  <c r="H31" i="15"/>
  <c r="G31" i="15"/>
  <c r="H373" i="15"/>
  <c r="G373" i="15"/>
  <c r="G876" i="15"/>
  <c r="H876" i="15"/>
  <c r="H754" i="15"/>
  <c r="G754" i="15"/>
  <c r="H322" i="15"/>
  <c r="G322" i="15"/>
  <c r="H304" i="15"/>
  <c r="G304" i="15"/>
  <c r="H124" i="15"/>
  <c r="G124" i="15"/>
  <c r="G281" i="15"/>
  <c r="H289" i="15"/>
  <c r="G289" i="15"/>
  <c r="H241" i="15"/>
  <c r="G241" i="15"/>
  <c r="H830" i="15"/>
  <c r="G830" i="15"/>
  <c r="H826" i="15"/>
  <c r="G826" i="15"/>
  <c r="G822" i="15"/>
  <c r="H863" i="15"/>
  <c r="G863" i="15"/>
  <c r="H773" i="15"/>
  <c r="G773" i="15"/>
  <c r="G728" i="15"/>
  <c r="H728" i="15"/>
  <c r="H747" i="15"/>
  <c r="G747" i="15"/>
  <c r="H549" i="15"/>
  <c r="G549" i="15"/>
  <c r="H557" i="15"/>
  <c r="G557" i="15"/>
  <c r="H308" i="15"/>
  <c r="G308" i="15"/>
  <c r="H469" i="15"/>
  <c r="H465" i="15"/>
  <c r="G465" i="15"/>
  <c r="G488" i="15"/>
  <c r="H488" i="15"/>
  <c r="H398" i="15"/>
  <c r="G398" i="15"/>
  <c r="H108" i="15"/>
  <c r="G108" i="15"/>
  <c r="G104" i="15"/>
  <c r="H100" i="15"/>
  <c r="H113" i="15"/>
  <c r="G113" i="15"/>
  <c r="H23" i="15"/>
  <c r="G23" i="15"/>
  <c r="H781" i="15"/>
  <c r="G781" i="15"/>
  <c r="H755" i="15"/>
  <c r="G755" i="15"/>
  <c r="H193" i="15"/>
  <c r="G193" i="15"/>
  <c r="H458" i="15"/>
  <c r="G458" i="15"/>
  <c r="H391" i="15"/>
  <c r="G391" i="15"/>
  <c r="G561" i="15"/>
  <c r="H561" i="15"/>
  <c r="H553" i="15"/>
  <c r="G553" i="15"/>
  <c r="H336" i="15"/>
  <c r="G336" i="15"/>
  <c r="H156" i="15"/>
  <c r="G156" i="15"/>
  <c r="H574" i="15"/>
  <c r="G574" i="15"/>
  <c r="H682" i="15"/>
  <c r="G682" i="15"/>
  <c r="G664" i="15"/>
  <c r="H664" i="15"/>
  <c r="E750" i="15"/>
  <c r="K750" i="15" s="1"/>
  <c r="E210" i="15"/>
  <c r="K210" i="15" s="1"/>
  <c r="E43" i="15"/>
  <c r="K43" i="15" s="1"/>
  <c r="E403" i="15"/>
  <c r="K403" i="15" s="1"/>
  <c r="E418" i="15"/>
  <c r="K418" i="15" s="1"/>
  <c r="E15" i="15"/>
  <c r="K15" i="15" s="1"/>
  <c r="E375" i="15"/>
  <c r="K375" i="15" s="1"/>
  <c r="E735" i="15"/>
  <c r="K735" i="15" s="1"/>
  <c r="E200" i="15"/>
  <c r="K200" i="15" s="1"/>
  <c r="E756" i="15"/>
  <c r="K756" i="15" s="1"/>
  <c r="E396" i="15"/>
  <c r="K396" i="15" s="1"/>
  <c r="E586" i="15"/>
  <c r="K586" i="15" s="1"/>
  <c r="E226" i="15"/>
  <c r="K226" i="15" s="1"/>
  <c r="E51" i="15"/>
  <c r="K51" i="15" s="1"/>
  <c r="E769" i="15"/>
  <c r="K769" i="15" s="1"/>
  <c r="E589" i="15"/>
  <c r="K589" i="15" s="1"/>
  <c r="E760" i="15"/>
  <c r="K760" i="15" s="1"/>
  <c r="E247" i="15"/>
  <c r="K247" i="15" s="1"/>
  <c r="E606" i="15"/>
  <c r="K606" i="15" s="1"/>
  <c r="E65" i="15"/>
  <c r="K65" i="15" s="1"/>
  <c r="E153" i="15"/>
  <c r="K153" i="15" s="1"/>
  <c r="E693" i="15"/>
  <c r="K693" i="15" s="1"/>
  <c r="E333" i="15"/>
  <c r="K333" i="15" s="1"/>
  <c r="E136" i="15"/>
  <c r="K136" i="15" s="1"/>
  <c r="E856" i="15"/>
  <c r="K856" i="15" s="1"/>
  <c r="E316" i="15"/>
  <c r="K316" i="15" s="1"/>
  <c r="E659" i="15"/>
  <c r="K659" i="15" s="1"/>
  <c r="E299" i="15"/>
  <c r="K299" i="15" s="1"/>
  <c r="E504" i="15"/>
  <c r="K504" i="15" s="1"/>
  <c r="E324" i="15"/>
  <c r="K324" i="15" s="1"/>
  <c r="E126" i="15"/>
  <c r="K126" i="15" s="1"/>
  <c r="E666" i="15"/>
  <c r="K666" i="15" s="1"/>
  <c r="E486" i="15"/>
  <c r="K486" i="15" s="1"/>
  <c r="E590" i="15"/>
  <c r="K590" i="15" s="1"/>
  <c r="E155" i="15"/>
  <c r="K155" i="15" s="1"/>
  <c r="E695" i="15"/>
  <c r="K695" i="15" s="1"/>
  <c r="E515" i="15"/>
  <c r="K515" i="15" s="1"/>
  <c r="E854" i="15"/>
  <c r="K854" i="15" s="1"/>
  <c r="E674" i="15"/>
  <c r="E314" i="15"/>
  <c r="K314" i="15" s="1"/>
  <c r="E117" i="15"/>
  <c r="K117" i="15" s="1"/>
  <c r="E837" i="15"/>
  <c r="K837" i="15" s="1"/>
  <c r="E297" i="15"/>
  <c r="K297" i="15" s="1"/>
  <c r="E870" i="15"/>
  <c r="K870" i="15" s="1"/>
  <c r="E510" i="15"/>
  <c r="K510" i="15" s="1"/>
  <c r="E330" i="15"/>
  <c r="K330" i="15" s="1"/>
  <c r="E133" i="15"/>
  <c r="K133" i="15" s="1"/>
  <c r="E853" i="15"/>
  <c r="K853" i="15" s="1"/>
  <c r="E831" i="15"/>
  <c r="K831" i="15" s="1"/>
  <c r="E742" i="15"/>
  <c r="K742" i="15" s="1"/>
  <c r="E382" i="15"/>
  <c r="K382" i="15" s="1"/>
  <c r="E28" i="15"/>
  <c r="K28" i="15" s="1"/>
  <c r="E388" i="15"/>
  <c r="K388" i="15" s="1"/>
  <c r="E401" i="15"/>
  <c r="K401" i="15" s="1"/>
  <c r="E738" i="15"/>
  <c r="K738" i="15" s="1"/>
  <c r="E730" i="15"/>
  <c r="K730" i="15" s="1"/>
  <c r="E370" i="15"/>
  <c r="K370" i="15" s="1"/>
  <c r="E393" i="15"/>
  <c r="K393" i="15" s="1"/>
  <c r="E572" i="15"/>
  <c r="K572" i="15" s="1"/>
  <c r="E212" i="15"/>
  <c r="K212" i="15" s="1"/>
  <c r="E222" i="15"/>
  <c r="K222" i="15" s="1"/>
  <c r="E402" i="15"/>
  <c r="K402" i="15" s="1"/>
  <c r="E587" i="15"/>
  <c r="K587" i="15" s="1"/>
  <c r="E45" i="15"/>
  <c r="K45" i="15" s="1"/>
  <c r="E765" i="15"/>
  <c r="K765" i="15" s="1"/>
  <c r="E64" i="15"/>
  <c r="K64" i="15" s="1"/>
  <c r="E784" i="15"/>
  <c r="K784" i="15" s="1"/>
  <c r="E783" i="15"/>
  <c r="K783" i="15" s="1"/>
  <c r="E782" i="15"/>
  <c r="K782" i="15" s="1"/>
  <c r="E597" i="15"/>
  <c r="K597" i="15" s="1"/>
  <c r="E149" i="15"/>
  <c r="K149" i="15" s="1"/>
  <c r="E132" i="15"/>
  <c r="K132" i="15" s="1"/>
  <c r="E852" i="15"/>
  <c r="K852" i="15" s="1"/>
  <c r="E312" i="15"/>
  <c r="K312" i="15" s="1"/>
  <c r="E115" i="15"/>
  <c r="K115" i="15" s="1"/>
  <c r="E655" i="15"/>
  <c r="K655" i="15" s="1"/>
  <c r="E475" i="15"/>
  <c r="K475" i="15" s="1"/>
  <c r="E859" i="15"/>
  <c r="K859" i="15" s="1"/>
  <c r="E319" i="15"/>
  <c r="K319" i="15" s="1"/>
  <c r="E482" i="15"/>
  <c r="K482" i="15" s="1"/>
  <c r="E302" i="15"/>
  <c r="K302" i="15" s="1"/>
  <c r="E151" i="15"/>
  <c r="K151" i="15" s="1"/>
  <c r="E871" i="15"/>
  <c r="K871" i="15" s="1"/>
  <c r="E691" i="15"/>
  <c r="K691" i="15" s="1"/>
  <c r="E490" i="15"/>
  <c r="K490" i="15" s="1"/>
  <c r="E310" i="15"/>
  <c r="K310" i="15" s="1"/>
  <c r="E686" i="15"/>
  <c r="K686" i="15" s="1"/>
  <c r="E326" i="15"/>
  <c r="K326" i="15" s="1"/>
  <c r="E129" i="15"/>
  <c r="K129" i="15" s="1"/>
  <c r="E489" i="15"/>
  <c r="K489" i="15" s="1"/>
  <c r="E309" i="15"/>
  <c r="K309" i="15" s="1"/>
  <c r="E107" i="15"/>
  <c r="K107" i="15" s="1"/>
  <c r="E647" i="15"/>
  <c r="K647" i="15" s="1"/>
  <c r="E372" i="15"/>
  <c r="K372" i="15" s="1"/>
  <c r="E145" i="15"/>
  <c r="K145" i="15" s="1"/>
  <c r="E865" i="15"/>
  <c r="K865" i="15" s="1"/>
  <c r="E685" i="15"/>
  <c r="K685" i="15" s="1"/>
  <c r="E325" i="15"/>
  <c r="K325" i="15" s="1"/>
  <c r="E505" i="15"/>
  <c r="K505" i="15" s="1"/>
  <c r="E667" i="15"/>
  <c r="K667" i="15" s="1"/>
  <c r="E487" i="15"/>
  <c r="K487" i="15" s="1"/>
  <c r="E307" i="15"/>
  <c r="K307" i="15" s="1"/>
  <c r="E152" i="15"/>
  <c r="K152" i="15" s="1"/>
  <c r="E872" i="15"/>
  <c r="K872" i="15" s="1"/>
  <c r="E692" i="15"/>
  <c r="K692" i="15" s="1"/>
  <c r="E512" i="15"/>
  <c r="K512" i="15" s="1"/>
  <c r="E855" i="15"/>
  <c r="K855" i="15" s="1"/>
  <c r="E495" i="15"/>
  <c r="K495" i="15" s="1"/>
  <c r="E315" i="15"/>
  <c r="K315" i="15" s="1"/>
  <c r="E478" i="15"/>
  <c r="K478" i="15" s="1"/>
  <c r="E298" i="15"/>
  <c r="K298" i="15" s="1"/>
  <c r="E147" i="15"/>
  <c r="K147" i="15" s="1"/>
  <c r="E867" i="15"/>
  <c r="K867" i="15" s="1"/>
  <c r="E125" i="15"/>
  <c r="K125" i="15" s="1"/>
  <c r="E485" i="15"/>
  <c r="K485" i="15" s="1"/>
  <c r="E305" i="15"/>
  <c r="K305" i="15" s="1"/>
  <c r="H147" i="14"/>
  <c r="L143" i="15" s="1"/>
  <c r="H147" i="13"/>
  <c r="L863" i="15" s="1"/>
  <c r="H147" i="12"/>
  <c r="L683" i="15" s="1"/>
  <c r="H147" i="11"/>
  <c r="L503" i="15" s="1"/>
  <c r="H147" i="10"/>
  <c r="L323" i="15" s="1"/>
  <c r="E141" i="15"/>
  <c r="K141" i="15" s="1"/>
  <c r="E681" i="15"/>
  <c r="K681" i="15" s="1"/>
  <c r="E321" i="15"/>
  <c r="K321" i="15" s="1"/>
  <c r="E120" i="15"/>
  <c r="K120" i="15" s="1"/>
  <c r="E840" i="15"/>
  <c r="K840" i="15" s="1"/>
  <c r="E480" i="15"/>
  <c r="K480" i="15" s="1"/>
  <c r="E300" i="15"/>
  <c r="K300" i="15" s="1"/>
  <c r="E643" i="15"/>
  <c r="K643" i="15" s="1"/>
  <c r="E823" i="15"/>
  <c r="K823" i="15" s="1"/>
  <c r="E463" i="15"/>
  <c r="K463" i="15" s="1"/>
  <c r="E209" i="15"/>
  <c r="K209" i="15" s="1"/>
  <c r="E52" i="15"/>
  <c r="K52" i="15" s="1"/>
  <c r="E772" i="15"/>
  <c r="K772" i="15" s="1"/>
  <c r="E59" i="15"/>
  <c r="K59" i="15" s="1"/>
  <c r="E779" i="15"/>
  <c r="K779" i="15" s="1"/>
  <c r="H132" i="14"/>
  <c r="L128" i="15" s="1"/>
  <c r="H132" i="12"/>
  <c r="L668" i="15" s="1"/>
  <c r="H132" i="13"/>
  <c r="L848" i="15" s="1"/>
  <c r="H132" i="11"/>
  <c r="L488" i="15" s="1"/>
  <c r="H132" i="10"/>
  <c r="L308" i="15" s="1"/>
  <c r="E371" i="15"/>
  <c r="K371" i="15" s="1"/>
  <c r="E191" i="15"/>
  <c r="K191" i="15" s="1"/>
  <c r="E556" i="15"/>
  <c r="K556" i="15" s="1"/>
  <c r="E566" i="15"/>
  <c r="K566" i="15" s="1"/>
  <c r="E386" i="15"/>
  <c r="K386" i="15" s="1"/>
  <c r="E206" i="15"/>
  <c r="K206" i="15" s="1"/>
  <c r="E565" i="15"/>
  <c r="K565" i="15" s="1"/>
  <c r="E764" i="15"/>
  <c r="K764" i="15" s="1"/>
  <c r="E399" i="15"/>
  <c r="K399" i="15" s="1"/>
  <c r="E219" i="15"/>
  <c r="K219" i="15" s="1"/>
  <c r="E48" i="15"/>
  <c r="K48" i="15" s="1"/>
  <c r="E596" i="15"/>
  <c r="K596" i="15" s="1"/>
  <c r="E595" i="15"/>
  <c r="K595" i="15" s="1"/>
  <c r="E234" i="15"/>
  <c r="K234" i="15" s="1"/>
  <c r="H117" i="14"/>
  <c r="L113" i="15" s="1"/>
  <c r="H117" i="13"/>
  <c r="L833" i="15" s="1"/>
  <c r="H117" i="12"/>
  <c r="L653" i="15" s="1"/>
  <c r="H117" i="11"/>
  <c r="L473" i="15" s="1"/>
  <c r="H117" i="10"/>
  <c r="L293" i="15" s="1"/>
  <c r="E157" i="15"/>
  <c r="K157" i="15" s="1"/>
  <c r="E697" i="15"/>
  <c r="K697" i="15" s="1"/>
  <c r="E337" i="15"/>
  <c r="K337" i="15" s="1"/>
  <c r="E860" i="15"/>
  <c r="K860" i="15" s="1"/>
  <c r="E680" i="15"/>
  <c r="K680" i="15" s="1"/>
  <c r="E320" i="15"/>
  <c r="K320" i="15" s="1"/>
  <c r="E663" i="15"/>
  <c r="K663" i="15" s="1"/>
  <c r="E483" i="15"/>
  <c r="K483" i="15" s="1"/>
  <c r="E303" i="15"/>
  <c r="K303" i="15" s="1"/>
  <c r="E868" i="15"/>
  <c r="K868" i="15" s="1"/>
  <c r="E508" i="15"/>
  <c r="K508" i="15" s="1"/>
  <c r="E131" i="15"/>
  <c r="K131" i="15" s="1"/>
  <c r="E491" i="15"/>
  <c r="K491" i="15" s="1"/>
  <c r="E311" i="15"/>
  <c r="K311" i="15" s="1"/>
  <c r="E114" i="15"/>
  <c r="K114" i="15" s="1"/>
  <c r="E834" i="15"/>
  <c r="K834" i="15" s="1"/>
  <c r="E654" i="15"/>
  <c r="K654" i="15" s="1"/>
  <c r="E474" i="15"/>
  <c r="K474" i="15" s="1"/>
  <c r="E678" i="15"/>
  <c r="K678" i="15" s="1"/>
  <c r="E318" i="15"/>
  <c r="K318" i="15" s="1"/>
  <c r="E498" i="15"/>
  <c r="K498" i="15" s="1"/>
  <c r="E121" i="15"/>
  <c r="K121" i="15" s="1"/>
  <c r="E841" i="15"/>
  <c r="K841" i="15" s="1"/>
  <c r="E661" i="15"/>
  <c r="K661" i="15" s="1"/>
  <c r="E154" i="15"/>
  <c r="K154" i="15" s="1"/>
  <c r="E694" i="15"/>
  <c r="K694" i="15" s="1"/>
  <c r="E514" i="15"/>
  <c r="K514" i="15" s="1"/>
  <c r="E334" i="15"/>
  <c r="K334" i="15" s="1"/>
  <c r="E137" i="15"/>
  <c r="K137" i="15" s="1"/>
  <c r="E857" i="15"/>
  <c r="K857" i="15" s="1"/>
  <c r="E497" i="15"/>
  <c r="K497" i="15" s="1"/>
  <c r="E836" i="15"/>
  <c r="K836" i="15" s="1"/>
  <c r="E656" i="15"/>
  <c r="K656" i="15" s="1"/>
  <c r="E296" i="15"/>
  <c r="K296" i="15" s="1"/>
  <c r="E819" i="15"/>
  <c r="K819" i="15" s="1"/>
  <c r="E639" i="15"/>
  <c r="K639" i="15" s="1"/>
  <c r="E459" i="15"/>
  <c r="K459" i="15" s="1"/>
  <c r="W24" i="15"/>
  <c r="V31" i="15"/>
  <c r="W31" i="15"/>
  <c r="W20" i="15"/>
  <c r="V22" i="15"/>
  <c r="W22" i="15"/>
  <c r="V21" i="15"/>
  <c r="W21" i="15"/>
  <c r="V20" i="15"/>
  <c r="C73" i="2"/>
  <c r="D73" i="2" s="1"/>
  <c r="C327" i="4" s="1"/>
  <c r="C77" i="2"/>
  <c r="D77" i="2" s="1"/>
  <c r="C331" i="4" s="1"/>
  <c r="C81" i="2"/>
  <c r="D81" i="2" s="1"/>
  <c r="C335" i="4" s="1"/>
  <c r="C69" i="2"/>
  <c r="D69" i="2" s="1"/>
  <c r="C323" i="4" s="1"/>
  <c r="C74" i="2"/>
  <c r="D74" i="2" s="1"/>
  <c r="C328" i="4" s="1"/>
  <c r="C78" i="2"/>
  <c r="D78" i="2" s="1"/>
  <c r="C332" i="4" s="1"/>
  <c r="C82" i="2"/>
  <c r="D82" i="2" s="1"/>
  <c r="C336" i="4" s="1"/>
  <c r="C71" i="2"/>
  <c r="D71" i="2" s="1"/>
  <c r="C325" i="4" s="1"/>
  <c r="C75" i="2"/>
  <c r="D75" i="2" s="1"/>
  <c r="C329" i="4" s="1"/>
  <c r="C79" i="2"/>
  <c r="D79" i="2" s="1"/>
  <c r="C333" i="4" s="1"/>
  <c r="C83" i="2"/>
  <c r="D83" i="2" s="1"/>
  <c r="C337" i="4" s="1"/>
  <c r="C72" i="2"/>
  <c r="D72" i="2" s="1"/>
  <c r="C326" i="4" s="1"/>
  <c r="C76" i="2"/>
  <c r="D76" i="2" s="1"/>
  <c r="C330" i="4" s="1"/>
  <c r="C80" i="2"/>
  <c r="D80" i="2" s="1"/>
  <c r="C334" i="4" s="1"/>
  <c r="C70" i="2"/>
  <c r="D70" i="2" s="1"/>
  <c r="C324" i="4" s="1"/>
  <c r="C59" i="5"/>
  <c r="D59" i="5" s="1"/>
  <c r="C268" i="4" s="1"/>
  <c r="C63" i="6"/>
  <c r="D63" i="6" s="1"/>
  <c r="C287" i="4" s="1"/>
  <c r="C67" i="7"/>
  <c r="D67" i="7" s="1"/>
  <c r="C306" i="4" s="1"/>
  <c r="F25" i="7"/>
  <c r="C58" i="7"/>
  <c r="D58" i="7" s="1"/>
  <c r="C297" i="4" s="1"/>
  <c r="C62" i="7"/>
  <c r="D62" i="7" s="1"/>
  <c r="C301" i="4" s="1"/>
  <c r="C66" i="8"/>
  <c r="D66" i="8" s="1"/>
  <c r="C245" i="4" s="1"/>
  <c r="C67" i="8"/>
  <c r="D67" i="8" s="1"/>
  <c r="C246" i="4" s="1"/>
  <c r="F38" i="2"/>
  <c r="F30" i="7"/>
  <c r="G45" i="1"/>
  <c r="C57" i="8"/>
  <c r="D57" i="8" s="1"/>
  <c r="C236" i="4" s="1"/>
  <c r="C61" i="6"/>
  <c r="D61" i="6" s="1"/>
  <c r="C285" i="4" s="1"/>
  <c r="C65" i="7"/>
  <c r="D65" i="7" s="1"/>
  <c r="C304" i="4" s="1"/>
  <c r="C56" i="5"/>
  <c r="D56" i="5" s="1"/>
  <c r="C265" i="4" s="1"/>
  <c r="C60" i="6"/>
  <c r="D60" i="6" s="1"/>
  <c r="C284" i="4" s="1"/>
  <c r="C64" i="7"/>
  <c r="D64" i="7" s="1"/>
  <c r="C303" i="4" s="1"/>
  <c r="C68" i="7"/>
  <c r="D68" i="7" s="1"/>
  <c r="C307" i="4" s="1"/>
  <c r="AF8" i="4"/>
  <c r="AF6" i="4"/>
  <c r="AG8" i="4"/>
  <c r="AG6" i="4"/>
  <c r="AF7" i="4"/>
  <c r="AF9" i="4"/>
  <c r="AG5" i="4"/>
  <c r="AH5" i="4" s="1"/>
  <c r="AG7" i="4"/>
  <c r="AG9" i="4"/>
  <c r="F36" i="7"/>
  <c r="F36" i="5"/>
  <c r="F36" i="2"/>
  <c r="F36" i="6"/>
  <c r="F36" i="8"/>
  <c r="F38" i="6"/>
  <c r="F34" i="6"/>
  <c r="F34" i="7"/>
  <c r="F34" i="2"/>
  <c r="F34" i="8"/>
  <c r="F34" i="5"/>
  <c r="G64" i="1"/>
  <c r="G62" i="1"/>
  <c r="F28" i="7"/>
  <c r="F28" i="6"/>
  <c r="F28" i="5"/>
  <c r="F28" i="8"/>
  <c r="F28" i="2"/>
  <c r="F26" i="6"/>
  <c r="F30" i="5"/>
  <c r="F30" i="2"/>
  <c r="G70" i="1"/>
  <c r="G56" i="1"/>
  <c r="C11" i="8"/>
  <c r="D11" i="8" s="1"/>
  <c r="C10" i="4" s="1"/>
  <c r="C17" i="8"/>
  <c r="D17" i="8" s="1"/>
  <c r="C16" i="4" s="1"/>
  <c r="C20" i="8"/>
  <c r="D20" i="8" s="1"/>
  <c r="C19" i="4" s="1"/>
  <c r="C27" i="8"/>
  <c r="D27" i="8" s="1"/>
  <c r="C26" i="4" s="1"/>
  <c r="C31" i="8"/>
  <c r="D31" i="8" s="1"/>
  <c r="C30" i="4" s="1"/>
  <c r="C35" i="8"/>
  <c r="D35" i="8" s="1"/>
  <c r="C34" i="4" s="1"/>
  <c r="C42" i="8"/>
  <c r="D42" i="8" s="1"/>
  <c r="C41" i="4" s="1"/>
  <c r="C46" i="8"/>
  <c r="D46" i="8" s="1"/>
  <c r="C45" i="4" s="1"/>
  <c r="C50" i="8"/>
  <c r="D50" i="8" s="1"/>
  <c r="C49" i="4" s="1"/>
  <c r="C58" i="8"/>
  <c r="D58" i="8" s="1"/>
  <c r="C237" i="4" s="1"/>
  <c r="C60" i="8"/>
  <c r="D60" i="8" s="1"/>
  <c r="C239" i="4" s="1"/>
  <c r="C63" i="8"/>
  <c r="D63" i="8" s="1"/>
  <c r="C242" i="4" s="1"/>
  <c r="D86" i="4"/>
  <c r="F86" i="4" s="1"/>
  <c r="C13" i="5"/>
  <c r="D13" i="5" s="1"/>
  <c r="C102" i="4" s="1"/>
  <c r="C17" i="5"/>
  <c r="D17" i="5" s="1"/>
  <c r="C106" i="4" s="1"/>
  <c r="C21" i="5"/>
  <c r="D21" i="5" s="1"/>
  <c r="C110" i="4" s="1"/>
  <c r="C28" i="5"/>
  <c r="D28" i="5" s="1"/>
  <c r="C117" i="4" s="1"/>
  <c r="C32" i="5"/>
  <c r="D32" i="5" s="1"/>
  <c r="C121" i="4" s="1"/>
  <c r="C36" i="5"/>
  <c r="D36" i="5" s="1"/>
  <c r="C125" i="4" s="1"/>
  <c r="C41" i="5"/>
  <c r="D41" i="5" s="1"/>
  <c r="C130" i="4" s="1"/>
  <c r="C44" i="5"/>
  <c r="D44" i="5" s="1"/>
  <c r="C133" i="4" s="1"/>
  <c r="C46" i="5"/>
  <c r="D46" i="5" s="1"/>
  <c r="C135" i="4" s="1"/>
  <c r="C50" i="5"/>
  <c r="D50" i="5" s="1"/>
  <c r="C139" i="4" s="1"/>
  <c r="C53" i="5"/>
  <c r="D53" i="5" s="1"/>
  <c r="C142" i="4" s="1"/>
  <c r="C57" i="5"/>
  <c r="D57" i="5" s="1"/>
  <c r="C266" i="4" s="1"/>
  <c r="D269" i="4"/>
  <c r="F269" i="4" s="1"/>
  <c r="C63" i="5"/>
  <c r="D63" i="5" s="1"/>
  <c r="C272" i="4" s="1"/>
  <c r="C66" i="5"/>
  <c r="D66" i="5" s="1"/>
  <c r="C275" i="4" s="1"/>
  <c r="C14" i="6"/>
  <c r="D14" i="6" s="1"/>
  <c r="C148" i="4" s="1"/>
  <c r="C18" i="6"/>
  <c r="D18" i="6" s="1"/>
  <c r="C152" i="4" s="1"/>
  <c r="C21" i="6"/>
  <c r="D21" i="6" s="1"/>
  <c r="C155" i="4" s="1"/>
  <c r="C27" i="6"/>
  <c r="D27" i="6" s="1"/>
  <c r="C161" i="4" s="1"/>
  <c r="C30" i="6"/>
  <c r="D30" i="6" s="1"/>
  <c r="C164" i="4" s="1"/>
  <c r="C34" i="6"/>
  <c r="D34" i="6" s="1"/>
  <c r="C168" i="4" s="1"/>
  <c r="C38" i="6"/>
  <c r="D38" i="6" s="1"/>
  <c r="C172" i="4" s="1"/>
  <c r="C44" i="6"/>
  <c r="D44" i="6" s="1"/>
  <c r="C178" i="4" s="1"/>
  <c r="C48" i="6"/>
  <c r="D48" i="6" s="1"/>
  <c r="C182" i="4" s="1"/>
  <c r="C52" i="6"/>
  <c r="D52" i="6" s="1"/>
  <c r="C186" i="4" s="1"/>
  <c r="D280" i="4"/>
  <c r="F280" i="4" s="1"/>
  <c r="C58" i="6"/>
  <c r="C62" i="6"/>
  <c r="C66" i="6"/>
  <c r="C14" i="7"/>
  <c r="D14" i="7" s="1"/>
  <c r="C193" i="4" s="1"/>
  <c r="C18" i="7"/>
  <c r="D18" i="7" s="1"/>
  <c r="C197" i="4" s="1"/>
  <c r="C22" i="7"/>
  <c r="D22" i="7" s="1"/>
  <c r="C201" i="4" s="1"/>
  <c r="C29" i="7"/>
  <c r="D29" i="7" s="1"/>
  <c r="C208" i="4" s="1"/>
  <c r="C33" i="7"/>
  <c r="D33" i="7" s="1"/>
  <c r="C212" i="4" s="1"/>
  <c r="C37" i="7"/>
  <c r="D37" i="7" s="1"/>
  <c r="C216" i="4" s="1"/>
  <c r="C44" i="7"/>
  <c r="D44" i="7" s="1"/>
  <c r="C223" i="4" s="1"/>
  <c r="C47" i="7"/>
  <c r="D47" i="7" s="1"/>
  <c r="C226" i="4" s="1"/>
  <c r="C51" i="7"/>
  <c r="D51" i="7" s="1"/>
  <c r="C230" i="4" s="1"/>
  <c r="C59" i="7"/>
  <c r="D59" i="7" s="1"/>
  <c r="C298" i="4" s="1"/>
  <c r="C63" i="7"/>
  <c r="D63" i="7" s="1"/>
  <c r="C302" i="4" s="1"/>
  <c r="D305" i="4"/>
  <c r="G305" i="4" s="1"/>
  <c r="AA6" i="4"/>
  <c r="AC6" i="4" s="1"/>
  <c r="I366" i="4" s="1"/>
  <c r="AA9" i="4"/>
  <c r="AC9" i="4" s="1"/>
  <c r="I46" i="4" s="1"/>
  <c r="E18" i="7"/>
  <c r="E18" i="6"/>
  <c r="E18" i="5"/>
  <c r="E18" i="2"/>
  <c r="E18" i="8"/>
  <c r="E14" i="7"/>
  <c r="E14" i="6"/>
  <c r="E14" i="2"/>
  <c r="G14" i="2" s="1"/>
  <c r="J58" i="4" s="1"/>
  <c r="E14" i="8"/>
  <c r="E14" i="5"/>
  <c r="E10" i="7"/>
  <c r="E10" i="6"/>
  <c r="E10" i="5"/>
  <c r="E10" i="2"/>
  <c r="E10" i="8"/>
  <c r="G10" i="8" s="1"/>
  <c r="J9" i="4" s="1"/>
  <c r="E27" i="7"/>
  <c r="E27" i="6"/>
  <c r="E27" i="5"/>
  <c r="E27" i="2"/>
  <c r="E27" i="8"/>
  <c r="E23" i="7"/>
  <c r="E23" i="6"/>
  <c r="E23" i="5"/>
  <c r="E23" i="2"/>
  <c r="E23" i="8"/>
  <c r="G23" i="8" s="1"/>
  <c r="J22" i="4" s="1"/>
  <c r="E19" i="7"/>
  <c r="E19" i="6"/>
  <c r="E19" i="5"/>
  <c r="E19" i="2"/>
  <c r="G19" i="2" s="1"/>
  <c r="J63" i="4" s="1"/>
  <c r="E19" i="8"/>
  <c r="E37" i="6"/>
  <c r="E37" i="7"/>
  <c r="E37" i="8"/>
  <c r="E37" i="5"/>
  <c r="E37" i="2"/>
  <c r="E33" i="5"/>
  <c r="E33" i="2"/>
  <c r="E33" i="7"/>
  <c r="E33" i="6"/>
  <c r="E33" i="8"/>
  <c r="E52" i="6"/>
  <c r="E52" i="7"/>
  <c r="E52" i="8"/>
  <c r="E52" i="5"/>
  <c r="E52" i="2"/>
  <c r="E48" i="7"/>
  <c r="E48" i="6"/>
  <c r="E48" i="2"/>
  <c r="E48" i="5"/>
  <c r="E48" i="8"/>
  <c r="E44" i="6"/>
  <c r="E44" i="7"/>
  <c r="E44" i="5"/>
  <c r="E44" i="8"/>
  <c r="E44" i="2"/>
  <c r="E68" i="7"/>
  <c r="E68" i="5"/>
  <c r="E68" i="8"/>
  <c r="E68" i="6"/>
  <c r="E68" i="2"/>
  <c r="E64" i="7"/>
  <c r="E64" i="6"/>
  <c r="E64" i="2"/>
  <c r="E64" i="5"/>
  <c r="E64" i="8"/>
  <c r="E60" i="7"/>
  <c r="E60" i="6"/>
  <c r="E60" i="2"/>
  <c r="E60" i="5"/>
  <c r="E60" i="8"/>
  <c r="E56" i="6"/>
  <c r="E56" i="7"/>
  <c r="E56" i="5"/>
  <c r="E56" i="8"/>
  <c r="E56" i="2"/>
  <c r="F37" i="7"/>
  <c r="F37" i="6"/>
  <c r="F37" i="5"/>
  <c r="F37" i="2"/>
  <c r="G37" i="2" s="1"/>
  <c r="J81" i="4" s="1"/>
  <c r="F37" i="8"/>
  <c r="F35" i="7"/>
  <c r="F35" i="6"/>
  <c r="F35" i="2"/>
  <c r="F35" i="8"/>
  <c r="F35" i="5"/>
  <c r="F33" i="7"/>
  <c r="F33" i="6"/>
  <c r="G33" i="6" s="1"/>
  <c r="J167" i="4" s="1"/>
  <c r="F33" i="5"/>
  <c r="F33" i="8"/>
  <c r="F33" i="2"/>
  <c r="F31" i="7"/>
  <c r="F31" i="6"/>
  <c r="F31" i="5"/>
  <c r="F31" i="2"/>
  <c r="F31" i="8"/>
  <c r="F29" i="7"/>
  <c r="F29" i="5"/>
  <c r="F29" i="2"/>
  <c r="F29" i="6"/>
  <c r="F29" i="8"/>
  <c r="F27" i="6"/>
  <c r="F27" i="7"/>
  <c r="F27" i="8"/>
  <c r="F27" i="2"/>
  <c r="F27" i="5"/>
  <c r="F25" i="5"/>
  <c r="G54" i="1"/>
  <c r="G52" i="1"/>
  <c r="G50" i="1"/>
  <c r="G48" i="1"/>
  <c r="G46" i="1"/>
  <c r="G43" i="1"/>
  <c r="F20" i="7"/>
  <c r="F20" i="5"/>
  <c r="F20" i="2"/>
  <c r="F20" i="6"/>
  <c r="F20" i="8"/>
  <c r="F16" i="6"/>
  <c r="F16" i="7"/>
  <c r="F16" i="8"/>
  <c r="F16" i="5"/>
  <c r="F16" i="2"/>
  <c r="C14" i="8"/>
  <c r="D14" i="8" s="1"/>
  <c r="C13" i="4" s="1"/>
  <c r="C18" i="8"/>
  <c r="D18" i="8" s="1"/>
  <c r="C17" i="4" s="1"/>
  <c r="C21" i="8"/>
  <c r="D21" i="8" s="1"/>
  <c r="C20" i="4" s="1"/>
  <c r="C28" i="8"/>
  <c r="D28" i="8" s="1"/>
  <c r="C27" i="4" s="1"/>
  <c r="C32" i="8"/>
  <c r="D32" i="8" s="1"/>
  <c r="C31" i="4" s="1"/>
  <c r="C36" i="8"/>
  <c r="D36" i="8" s="1"/>
  <c r="C35" i="4" s="1"/>
  <c r="C43" i="8"/>
  <c r="D43" i="8" s="1"/>
  <c r="C42" i="4" s="1"/>
  <c r="C47" i="8"/>
  <c r="D47" i="8" s="1"/>
  <c r="C46" i="4" s="1"/>
  <c r="C51" i="8"/>
  <c r="D51" i="8" s="1"/>
  <c r="C50" i="4" s="1"/>
  <c r="C59" i="8"/>
  <c r="D59" i="8" s="1"/>
  <c r="C238" i="4" s="1"/>
  <c r="C61" i="8"/>
  <c r="D61" i="8" s="1"/>
  <c r="C240" i="4" s="1"/>
  <c r="C64" i="8"/>
  <c r="D64" i="8" s="1"/>
  <c r="C243" i="4" s="1"/>
  <c r="C68" i="8"/>
  <c r="D68" i="8" s="1"/>
  <c r="C247" i="4" s="1"/>
  <c r="C22" i="5"/>
  <c r="D22" i="5" s="1"/>
  <c r="C111" i="4" s="1"/>
  <c r="C29" i="5"/>
  <c r="D29" i="5" s="1"/>
  <c r="C118" i="4" s="1"/>
  <c r="C33" i="5"/>
  <c r="D33" i="5" s="1"/>
  <c r="C122" i="4" s="1"/>
  <c r="C37" i="5"/>
  <c r="D37" i="5" s="1"/>
  <c r="C126" i="4" s="1"/>
  <c r="D129" i="4"/>
  <c r="G129" i="4" s="1"/>
  <c r="D131" i="4"/>
  <c r="G131" i="4" s="1"/>
  <c r="D134" i="4"/>
  <c r="F134" i="4" s="1"/>
  <c r="C47" i="5"/>
  <c r="D47" i="5" s="1"/>
  <c r="C136" i="4" s="1"/>
  <c r="D267" i="4"/>
  <c r="F267" i="4" s="1"/>
  <c r="C60" i="5"/>
  <c r="D60" i="5" s="1"/>
  <c r="C269" i="4" s="1"/>
  <c r="C11" i="6"/>
  <c r="D11" i="6" s="1"/>
  <c r="C145" i="4" s="1"/>
  <c r="C15" i="6"/>
  <c r="D15" i="6" s="1"/>
  <c r="C149" i="4" s="1"/>
  <c r="C19" i="6"/>
  <c r="D19" i="6" s="1"/>
  <c r="C153" i="4" s="1"/>
  <c r="C22" i="6"/>
  <c r="D22" i="6" s="1"/>
  <c r="C156" i="4" s="1"/>
  <c r="C28" i="6"/>
  <c r="D28" i="6" s="1"/>
  <c r="C162" i="4" s="1"/>
  <c r="C31" i="6"/>
  <c r="D31" i="6" s="1"/>
  <c r="C165" i="4" s="1"/>
  <c r="C35" i="6"/>
  <c r="D35" i="6" s="1"/>
  <c r="C169" i="4" s="1"/>
  <c r="C41" i="6"/>
  <c r="D41" i="6" s="1"/>
  <c r="C175" i="4" s="1"/>
  <c r="C45" i="6"/>
  <c r="D45" i="6" s="1"/>
  <c r="C179" i="4" s="1"/>
  <c r="C49" i="6"/>
  <c r="D49" i="6" s="1"/>
  <c r="C183" i="4" s="1"/>
  <c r="C53" i="6"/>
  <c r="D53" i="6" s="1"/>
  <c r="C187" i="4" s="1"/>
  <c r="C56" i="6"/>
  <c r="C59" i="6"/>
  <c r="D59" i="6" s="1"/>
  <c r="C67" i="6"/>
  <c r="D67" i="6" s="1"/>
  <c r="C11" i="7"/>
  <c r="D11" i="7" s="1"/>
  <c r="C190" i="4" s="1"/>
  <c r="C15" i="7"/>
  <c r="D15" i="7" s="1"/>
  <c r="C194" i="4" s="1"/>
  <c r="C19" i="7"/>
  <c r="D19" i="7" s="1"/>
  <c r="C198" i="4" s="1"/>
  <c r="C23" i="7"/>
  <c r="D23" i="7" s="1"/>
  <c r="C202" i="4" s="1"/>
  <c r="C26" i="7"/>
  <c r="D26" i="7" s="1"/>
  <c r="C205" i="4" s="1"/>
  <c r="C30" i="7"/>
  <c r="D30" i="7" s="1"/>
  <c r="C209" i="4" s="1"/>
  <c r="C34" i="7"/>
  <c r="D34" i="7" s="1"/>
  <c r="C213" i="4" s="1"/>
  <c r="C38" i="7"/>
  <c r="D38" i="7" s="1"/>
  <c r="C217" i="4" s="1"/>
  <c r="C41" i="7"/>
  <c r="D41" i="7" s="1"/>
  <c r="C220" i="4" s="1"/>
  <c r="C45" i="7"/>
  <c r="D45" i="7" s="1"/>
  <c r="C224" i="4" s="1"/>
  <c r="C48" i="7"/>
  <c r="D48" i="7" s="1"/>
  <c r="C227" i="4" s="1"/>
  <c r="C52" i="7"/>
  <c r="D52" i="7" s="1"/>
  <c r="C231" i="4" s="1"/>
  <c r="C56" i="7"/>
  <c r="D56" i="7" s="1"/>
  <c r="C295" i="4" s="1"/>
  <c r="C60" i="7"/>
  <c r="D60" i="7" s="1"/>
  <c r="C299" i="4" s="1"/>
  <c r="D303" i="4"/>
  <c r="F303" i="4" s="1"/>
  <c r="C66" i="7"/>
  <c r="D66" i="7" s="1"/>
  <c r="C305" i="4" s="1"/>
  <c r="E17" i="7"/>
  <c r="E17" i="6"/>
  <c r="E17" i="5"/>
  <c r="E17" i="2"/>
  <c r="E17" i="8"/>
  <c r="G17" i="8" s="1"/>
  <c r="J16" i="4" s="1"/>
  <c r="E13" i="6"/>
  <c r="E13" i="7"/>
  <c r="E13" i="5"/>
  <c r="E13" i="8"/>
  <c r="G13" i="8" s="1"/>
  <c r="J12" i="4" s="1"/>
  <c r="E13" i="2"/>
  <c r="E30" i="7"/>
  <c r="E30" i="6"/>
  <c r="E30" i="5"/>
  <c r="E30" i="2"/>
  <c r="E30" i="8"/>
  <c r="E26" i="7"/>
  <c r="E26" i="6"/>
  <c r="E26" i="5"/>
  <c r="E26" i="2"/>
  <c r="E26" i="8"/>
  <c r="E22" i="6"/>
  <c r="E22" i="7"/>
  <c r="E22" i="5"/>
  <c r="E22" i="2"/>
  <c r="E22" i="8"/>
  <c r="E40" i="7"/>
  <c r="E40" i="5"/>
  <c r="E40" i="2"/>
  <c r="E40" i="6"/>
  <c r="E40" i="8"/>
  <c r="E36" i="7"/>
  <c r="G36" i="7" s="1"/>
  <c r="J215" i="4" s="1"/>
  <c r="E36" i="6"/>
  <c r="E36" i="5"/>
  <c r="E36" i="2"/>
  <c r="G36" i="2" s="1"/>
  <c r="J80" i="4" s="1"/>
  <c r="E36" i="8"/>
  <c r="E32" i="7"/>
  <c r="E32" i="6"/>
  <c r="E32" i="5"/>
  <c r="E32" i="2"/>
  <c r="E32" i="8"/>
  <c r="E51" i="7"/>
  <c r="E51" i="6"/>
  <c r="E51" i="5"/>
  <c r="E51" i="2"/>
  <c r="E51" i="8"/>
  <c r="E47" i="7"/>
  <c r="E47" i="5"/>
  <c r="E47" i="2"/>
  <c r="E47" i="6"/>
  <c r="E47" i="8"/>
  <c r="E43" i="7"/>
  <c r="E43" i="6"/>
  <c r="E43" i="5"/>
  <c r="E43" i="8"/>
  <c r="E43" i="2"/>
  <c r="E67" i="7"/>
  <c r="E67" i="6"/>
  <c r="E67" i="5"/>
  <c r="E67" i="2"/>
  <c r="E67" i="8"/>
  <c r="E63" i="7"/>
  <c r="E63" i="6"/>
  <c r="E63" i="5"/>
  <c r="E63" i="2"/>
  <c r="E63" i="8"/>
  <c r="E59" i="7"/>
  <c r="E59" i="6"/>
  <c r="E59" i="8"/>
  <c r="E59" i="5"/>
  <c r="E59" i="2"/>
  <c r="E55" i="7"/>
  <c r="E55" i="6"/>
  <c r="E55" i="2"/>
  <c r="E55" i="5"/>
  <c r="E55" i="8"/>
  <c r="H55" i="1"/>
  <c r="H70" i="1" s="1"/>
  <c r="H47" i="1"/>
  <c r="H62" i="1" s="1"/>
  <c r="C12" i="8"/>
  <c r="D12" i="8" s="1"/>
  <c r="C11" i="4" s="1"/>
  <c r="C15" i="8"/>
  <c r="D15" i="8" s="1"/>
  <c r="C14" i="4" s="1"/>
  <c r="C19" i="8"/>
  <c r="D19" i="8" s="1"/>
  <c r="C18" i="4" s="1"/>
  <c r="C29" i="8"/>
  <c r="D29" i="8" s="1"/>
  <c r="C28" i="4" s="1"/>
  <c r="C33" i="8"/>
  <c r="D33" i="8" s="1"/>
  <c r="C32" i="4" s="1"/>
  <c r="C37" i="8"/>
  <c r="D37" i="8" s="1"/>
  <c r="C36" i="4" s="1"/>
  <c r="C48" i="8"/>
  <c r="D48" i="8" s="1"/>
  <c r="C47" i="4" s="1"/>
  <c r="C52" i="8"/>
  <c r="D52" i="8" s="1"/>
  <c r="C51" i="4" s="1"/>
  <c r="C56" i="8"/>
  <c r="D56" i="8" s="1"/>
  <c r="C235" i="4" s="1"/>
  <c r="C65" i="8"/>
  <c r="D65" i="8" s="1"/>
  <c r="C244" i="4" s="1"/>
  <c r="C23" i="5"/>
  <c r="D23" i="5" s="1"/>
  <c r="C112" i="4" s="1"/>
  <c r="C26" i="5"/>
  <c r="D26" i="5" s="1"/>
  <c r="C115" i="4" s="1"/>
  <c r="C30" i="5"/>
  <c r="D30" i="5" s="1"/>
  <c r="C119" i="4" s="1"/>
  <c r="C34" i="5"/>
  <c r="D34" i="5" s="1"/>
  <c r="C123" i="4" s="1"/>
  <c r="C38" i="5"/>
  <c r="D38" i="5" s="1"/>
  <c r="C127" i="4" s="1"/>
  <c r="C42" i="5"/>
  <c r="D42" i="5" s="1"/>
  <c r="C131" i="4" s="1"/>
  <c r="C45" i="5"/>
  <c r="D45" i="5" s="1"/>
  <c r="C134" i="4" s="1"/>
  <c r="C51" i="5"/>
  <c r="D51" i="5" s="1"/>
  <c r="C140" i="4" s="1"/>
  <c r="C58" i="5"/>
  <c r="D58" i="5" s="1"/>
  <c r="C267" i="4" s="1"/>
  <c r="C61" i="5"/>
  <c r="D61" i="5" s="1"/>
  <c r="C270" i="4" s="1"/>
  <c r="C64" i="5"/>
  <c r="D64" i="5" s="1"/>
  <c r="C273" i="4" s="1"/>
  <c r="C67" i="5"/>
  <c r="D67" i="5" s="1"/>
  <c r="C276" i="4" s="1"/>
  <c r="C12" i="6"/>
  <c r="D12" i="6" s="1"/>
  <c r="C146" i="4" s="1"/>
  <c r="C16" i="6"/>
  <c r="D16" i="6" s="1"/>
  <c r="C150" i="4" s="1"/>
  <c r="D154" i="4"/>
  <c r="G154" i="4" s="1"/>
  <c r="C32" i="6"/>
  <c r="D32" i="6" s="1"/>
  <c r="C166" i="4" s="1"/>
  <c r="C36" i="6"/>
  <c r="D36" i="6" s="1"/>
  <c r="C170" i="4" s="1"/>
  <c r="C42" i="6"/>
  <c r="D42" i="6" s="1"/>
  <c r="C176" i="4" s="1"/>
  <c r="C46" i="6"/>
  <c r="D46" i="6" s="1"/>
  <c r="C180" i="4" s="1"/>
  <c r="C50" i="6"/>
  <c r="D50" i="6" s="1"/>
  <c r="C184" i="4" s="1"/>
  <c r="C57" i="6"/>
  <c r="C64" i="6"/>
  <c r="C68" i="6"/>
  <c r="C12" i="7"/>
  <c r="D12" i="7" s="1"/>
  <c r="C191" i="4" s="1"/>
  <c r="C16" i="7"/>
  <c r="D16" i="7" s="1"/>
  <c r="C195" i="4" s="1"/>
  <c r="C20" i="7"/>
  <c r="D20" i="7" s="1"/>
  <c r="C199" i="4" s="1"/>
  <c r="C27" i="7"/>
  <c r="D27" i="7" s="1"/>
  <c r="C206" i="4" s="1"/>
  <c r="C31" i="7"/>
  <c r="D31" i="7" s="1"/>
  <c r="C210" i="4" s="1"/>
  <c r="C35" i="7"/>
  <c r="D35" i="7" s="1"/>
  <c r="C214" i="4" s="1"/>
  <c r="C49" i="7"/>
  <c r="D49" i="7" s="1"/>
  <c r="C228" i="4" s="1"/>
  <c r="C53" i="7"/>
  <c r="D53" i="7" s="1"/>
  <c r="C232" i="4" s="1"/>
  <c r="C57" i="7"/>
  <c r="D57" i="7" s="1"/>
  <c r="C296" i="4" s="1"/>
  <c r="C61" i="7"/>
  <c r="D61" i="7" s="1"/>
  <c r="C300" i="4" s="1"/>
  <c r="E16" i="7"/>
  <c r="E16" i="6"/>
  <c r="E16" i="5"/>
  <c r="E16" i="2"/>
  <c r="E16" i="8"/>
  <c r="E12" i="6"/>
  <c r="E12" i="7"/>
  <c r="E12" i="5"/>
  <c r="E12" i="8"/>
  <c r="E12" i="2"/>
  <c r="E29" i="6"/>
  <c r="E29" i="7"/>
  <c r="E29" i="5"/>
  <c r="E29" i="2"/>
  <c r="G29" i="2" s="1"/>
  <c r="J73" i="4" s="1"/>
  <c r="E29" i="8"/>
  <c r="E25" i="7"/>
  <c r="E25" i="6"/>
  <c r="E25" i="5"/>
  <c r="E25" i="2"/>
  <c r="E25" i="8"/>
  <c r="E21" i="7"/>
  <c r="E21" i="6"/>
  <c r="E21" i="2"/>
  <c r="G21" i="2" s="1"/>
  <c r="J65" i="4" s="1"/>
  <c r="E21" i="8"/>
  <c r="E21" i="5"/>
  <c r="E39" i="7"/>
  <c r="E39" i="6"/>
  <c r="E39" i="2"/>
  <c r="E39" i="8"/>
  <c r="E39" i="5"/>
  <c r="E35" i="7"/>
  <c r="E35" i="6"/>
  <c r="E35" i="5"/>
  <c r="E35" i="2"/>
  <c r="E35" i="8"/>
  <c r="E31" i="6"/>
  <c r="E31" i="7"/>
  <c r="E31" i="8"/>
  <c r="E31" i="5"/>
  <c r="E31" i="2"/>
  <c r="E50" i="8"/>
  <c r="E50" i="7"/>
  <c r="E50" i="6"/>
  <c r="E50" i="5"/>
  <c r="E50" i="2"/>
  <c r="E46" i="7"/>
  <c r="E46" i="6"/>
  <c r="E46" i="8"/>
  <c r="E46" i="2"/>
  <c r="E46" i="5"/>
  <c r="E42" i="7"/>
  <c r="E42" i="6"/>
  <c r="E42" i="5"/>
  <c r="E42" i="2"/>
  <c r="E42" i="8"/>
  <c r="E66" i="7"/>
  <c r="E66" i="6"/>
  <c r="E66" i="8"/>
  <c r="E66" i="5"/>
  <c r="E66" i="2"/>
  <c r="E62" i="6"/>
  <c r="E62" i="2"/>
  <c r="E62" i="7"/>
  <c r="E62" i="5"/>
  <c r="E62" i="8"/>
  <c r="E58" i="7"/>
  <c r="E58" i="5"/>
  <c r="E58" i="6"/>
  <c r="E58" i="2"/>
  <c r="E58" i="8"/>
  <c r="E54" i="6"/>
  <c r="E54" i="5"/>
  <c r="E54" i="7"/>
  <c r="E54" i="2"/>
  <c r="E54" i="8"/>
  <c r="G53" i="1"/>
  <c r="G51" i="1"/>
  <c r="G42" i="1"/>
  <c r="F22" i="7"/>
  <c r="F22" i="5"/>
  <c r="F22" i="2"/>
  <c r="F22" i="6"/>
  <c r="F22" i="8"/>
  <c r="F18" i="6"/>
  <c r="F18" i="7"/>
  <c r="F18" i="5"/>
  <c r="F18" i="8"/>
  <c r="F18" i="2"/>
  <c r="G18" i="2" s="1"/>
  <c r="J62" i="4" s="1"/>
  <c r="C13" i="8"/>
  <c r="D13" i="8" s="1"/>
  <c r="C12" i="4" s="1"/>
  <c r="C16" i="8"/>
  <c r="D16" i="8" s="1"/>
  <c r="C15" i="4" s="1"/>
  <c r="C23" i="8"/>
  <c r="D23" i="8" s="1"/>
  <c r="C22" i="4" s="1"/>
  <c r="C26" i="8"/>
  <c r="D26" i="8" s="1"/>
  <c r="C25" i="4" s="1"/>
  <c r="C49" i="8"/>
  <c r="D49" i="8" s="1"/>
  <c r="C48" i="4" s="1"/>
  <c r="D239" i="4"/>
  <c r="G239" i="4" s="1"/>
  <c r="C62" i="8"/>
  <c r="D62" i="8" s="1"/>
  <c r="C241" i="4" s="1"/>
  <c r="C67" i="2"/>
  <c r="D67" i="2" s="1"/>
  <c r="C261" i="4" s="1"/>
  <c r="D250" i="4"/>
  <c r="G250" i="4" s="1"/>
  <c r="C20" i="5"/>
  <c r="D20" i="5" s="1"/>
  <c r="C109" i="4" s="1"/>
  <c r="D130" i="4"/>
  <c r="G130" i="4" s="1"/>
  <c r="C43" i="5"/>
  <c r="D43" i="5" s="1"/>
  <c r="C132" i="4" s="1"/>
  <c r="D135" i="4"/>
  <c r="G135" i="4" s="1"/>
  <c r="C62" i="5"/>
  <c r="D62" i="5" s="1"/>
  <c r="C271" i="4" s="1"/>
  <c r="C65" i="5"/>
  <c r="D65" i="5" s="1"/>
  <c r="C274" i="4" s="1"/>
  <c r="C68" i="5"/>
  <c r="D68" i="5" s="1"/>
  <c r="C277" i="4" s="1"/>
  <c r="C13" i="6"/>
  <c r="D13" i="6" s="1"/>
  <c r="C147" i="4" s="1"/>
  <c r="C17" i="6"/>
  <c r="D17" i="6" s="1"/>
  <c r="C151" i="4" s="1"/>
  <c r="D174" i="4"/>
  <c r="F174" i="4" s="1"/>
  <c r="C43" i="6"/>
  <c r="D43" i="6" s="1"/>
  <c r="C177" i="4" s="1"/>
  <c r="D282" i="4"/>
  <c r="G282" i="4" s="1"/>
  <c r="C65" i="6"/>
  <c r="E9" i="7"/>
  <c r="E9" i="6"/>
  <c r="E9" i="5"/>
  <c r="G9" i="5" s="1"/>
  <c r="J98" i="4" s="1"/>
  <c r="E9" i="2"/>
  <c r="E9" i="8"/>
  <c r="E15" i="6"/>
  <c r="E15" i="7"/>
  <c r="E15" i="5"/>
  <c r="E15" i="2"/>
  <c r="E15" i="8"/>
  <c r="E11" i="7"/>
  <c r="E11" i="6"/>
  <c r="E11" i="5"/>
  <c r="E11" i="2"/>
  <c r="E11" i="8"/>
  <c r="E28" i="7"/>
  <c r="G28" i="7" s="1"/>
  <c r="J207" i="4" s="1"/>
  <c r="E28" i="6"/>
  <c r="E28" i="8"/>
  <c r="E28" i="2"/>
  <c r="E28" i="5"/>
  <c r="G28" i="5" s="1"/>
  <c r="J117" i="4" s="1"/>
  <c r="E24" i="7"/>
  <c r="E24" i="6"/>
  <c r="E24" i="5"/>
  <c r="E24" i="2"/>
  <c r="E24" i="8"/>
  <c r="E20" i="6"/>
  <c r="E20" i="7"/>
  <c r="E20" i="8"/>
  <c r="E20" i="2"/>
  <c r="E20" i="5"/>
  <c r="E38" i="7"/>
  <c r="E38" i="6"/>
  <c r="E38" i="2"/>
  <c r="E38" i="5"/>
  <c r="E38" i="8"/>
  <c r="E34" i="7"/>
  <c r="G34" i="7" s="1"/>
  <c r="J213" i="4" s="1"/>
  <c r="E34" i="6"/>
  <c r="E34" i="5"/>
  <c r="E34" i="2"/>
  <c r="E34" i="8"/>
  <c r="E53" i="7"/>
  <c r="E53" i="6"/>
  <c r="E53" i="2"/>
  <c r="E53" i="5"/>
  <c r="E53" i="8"/>
  <c r="E49" i="7"/>
  <c r="E49" i="6"/>
  <c r="E49" i="5"/>
  <c r="E49" i="8"/>
  <c r="E49" i="2"/>
  <c r="E45" i="6"/>
  <c r="E45" i="7"/>
  <c r="E45" i="5"/>
  <c r="E45" i="2"/>
  <c r="E45" i="8"/>
  <c r="E41" i="7"/>
  <c r="E41" i="6"/>
  <c r="E41" i="5"/>
  <c r="E41" i="2"/>
  <c r="E41" i="8"/>
  <c r="E65" i="6"/>
  <c r="E65" i="7"/>
  <c r="E65" i="5"/>
  <c r="E65" i="2"/>
  <c r="E65" i="8"/>
  <c r="E61" i="7"/>
  <c r="E61" i="5"/>
  <c r="E61" i="6"/>
  <c r="E61" i="2"/>
  <c r="E61" i="8"/>
  <c r="E57" i="7"/>
  <c r="E57" i="6"/>
  <c r="E57" i="5"/>
  <c r="E57" i="8"/>
  <c r="E57" i="2"/>
  <c r="G44" i="1"/>
  <c r="G60" i="1"/>
  <c r="F12" i="7"/>
  <c r="F12" i="6"/>
  <c r="F12" i="5"/>
  <c r="F21" i="8"/>
  <c r="F14" i="8"/>
  <c r="G14" i="8" s="1"/>
  <c r="J13" i="4" s="1"/>
  <c r="F12" i="8"/>
  <c r="F9" i="2"/>
  <c r="F17" i="5"/>
  <c r="F9" i="7"/>
  <c r="F9" i="6"/>
  <c r="F23" i="7"/>
  <c r="F23" i="6"/>
  <c r="F23" i="5"/>
  <c r="F19" i="7"/>
  <c r="F19" i="6"/>
  <c r="F15" i="7"/>
  <c r="F15" i="5"/>
  <c r="F15" i="2"/>
  <c r="F15" i="6"/>
  <c r="F11" i="6"/>
  <c r="F11" i="7"/>
  <c r="F11" i="5"/>
  <c r="F19" i="8"/>
  <c r="F23" i="2"/>
  <c r="F11" i="2"/>
  <c r="F14" i="6"/>
  <c r="G14" i="6" s="1"/>
  <c r="J148" i="4" s="1"/>
  <c r="F14" i="7"/>
  <c r="F14" i="5"/>
  <c r="F10" i="7"/>
  <c r="F10" i="6"/>
  <c r="F9" i="8"/>
  <c r="F15" i="8"/>
  <c r="F10" i="2"/>
  <c r="G10" i="2" s="1"/>
  <c r="J54" i="4" s="1"/>
  <c r="F19" i="5"/>
  <c r="F10" i="5"/>
  <c r="F21" i="6"/>
  <c r="F21" i="7"/>
  <c r="F21" i="5"/>
  <c r="F17" i="7"/>
  <c r="F17" i="6"/>
  <c r="F13" i="7"/>
  <c r="F13" i="6"/>
  <c r="F13" i="5"/>
  <c r="F13" i="2"/>
  <c r="F11" i="8"/>
  <c r="F17" i="2"/>
  <c r="F12" i="2"/>
  <c r="C283" i="4"/>
  <c r="C291" i="4"/>
  <c r="C279" i="4"/>
  <c r="C44" i="2"/>
  <c r="D44" i="2" s="1"/>
  <c r="C88" i="4" s="1"/>
  <c r="C29" i="2"/>
  <c r="D29" i="2" s="1"/>
  <c r="C73" i="4" s="1"/>
  <c r="C27" i="2"/>
  <c r="D27" i="2" s="1"/>
  <c r="C71" i="4" s="1"/>
  <c r="C64" i="2"/>
  <c r="D64" i="2" s="1"/>
  <c r="C258" i="4" s="1"/>
  <c r="C20" i="2"/>
  <c r="D20" i="2" s="1"/>
  <c r="C64" i="4" s="1"/>
  <c r="C37" i="2"/>
  <c r="D37" i="2" s="1"/>
  <c r="C81" i="4" s="1"/>
  <c r="C51" i="2"/>
  <c r="D51" i="2" s="1"/>
  <c r="C95" i="4" s="1"/>
  <c r="C35" i="2"/>
  <c r="D35" i="2" s="1"/>
  <c r="C79" i="4" s="1"/>
  <c r="C58" i="2"/>
  <c r="D58" i="2" s="1"/>
  <c r="C252" i="4" s="1"/>
  <c r="AA5" i="4"/>
  <c r="AC5" i="4" s="1"/>
  <c r="I206" i="4" s="1"/>
  <c r="AA7" i="4"/>
  <c r="AC7" i="4" s="1"/>
  <c r="I126" i="4" s="1"/>
  <c r="C16" i="2"/>
  <c r="D16" i="2" s="1"/>
  <c r="C60" i="4" s="1"/>
  <c r="C25" i="2"/>
  <c r="D25" i="2" s="1"/>
  <c r="C69" i="4" s="1"/>
  <c r="C33" i="2"/>
  <c r="D33" i="2" s="1"/>
  <c r="C77" i="4" s="1"/>
  <c r="C41" i="2"/>
  <c r="D41" i="2" s="1"/>
  <c r="C85" i="4" s="1"/>
  <c r="C47" i="2"/>
  <c r="D47" i="2" s="1"/>
  <c r="C91" i="4" s="1"/>
  <c r="C12" i="2"/>
  <c r="D12" i="2" s="1"/>
  <c r="C56" i="4" s="1"/>
  <c r="C23" i="2"/>
  <c r="D23" i="2" s="1"/>
  <c r="C67" i="4" s="1"/>
  <c r="C31" i="2"/>
  <c r="D31" i="2" s="1"/>
  <c r="C75" i="4" s="1"/>
  <c r="C40" i="2"/>
  <c r="D40" i="2" s="1"/>
  <c r="C84" i="4" s="1"/>
  <c r="C61" i="2"/>
  <c r="D61" i="2" s="1"/>
  <c r="C255" i="4" s="1"/>
  <c r="C66" i="2"/>
  <c r="D66" i="2" s="1"/>
  <c r="C260" i="4" s="1"/>
  <c r="C11" i="2"/>
  <c r="D11" i="2" s="1"/>
  <c r="C55" i="4" s="1"/>
  <c r="C15" i="2"/>
  <c r="D15" i="2" s="1"/>
  <c r="C59" i="4" s="1"/>
  <c r="C19" i="2"/>
  <c r="D19" i="2" s="1"/>
  <c r="C63" i="4" s="1"/>
  <c r="C21" i="2"/>
  <c r="D21" i="2" s="1"/>
  <c r="C65" i="4" s="1"/>
  <c r="C26" i="2"/>
  <c r="D26" i="2" s="1"/>
  <c r="C70" i="4" s="1"/>
  <c r="C30" i="2"/>
  <c r="D30" i="2" s="1"/>
  <c r="C74" i="4" s="1"/>
  <c r="C34" i="2"/>
  <c r="D34" i="2" s="1"/>
  <c r="C78" i="4" s="1"/>
  <c r="C38" i="2"/>
  <c r="D38" i="2" s="1"/>
  <c r="C82" i="4" s="1"/>
  <c r="C43" i="2"/>
  <c r="D43" i="2" s="1"/>
  <c r="C87" i="4" s="1"/>
  <c r="C49" i="2"/>
  <c r="D49" i="2" s="1"/>
  <c r="C93" i="4" s="1"/>
  <c r="C53" i="2"/>
  <c r="D53" i="2" s="1"/>
  <c r="C97" i="4" s="1"/>
  <c r="C57" i="2"/>
  <c r="D57" i="2" s="1"/>
  <c r="C251" i="4" s="1"/>
  <c r="C60" i="2"/>
  <c r="D60" i="2" s="1"/>
  <c r="C254" i="4" s="1"/>
  <c r="C13" i="2"/>
  <c r="D13" i="2" s="1"/>
  <c r="C57" i="4" s="1"/>
  <c r="C17" i="2"/>
  <c r="D17" i="2" s="1"/>
  <c r="C61" i="4" s="1"/>
  <c r="C45" i="2"/>
  <c r="D45" i="2" s="1"/>
  <c r="C89" i="4" s="1"/>
  <c r="C48" i="2"/>
  <c r="D48" i="2" s="1"/>
  <c r="C92" i="4" s="1"/>
  <c r="C52" i="2"/>
  <c r="D52" i="2" s="1"/>
  <c r="C96" i="4" s="1"/>
  <c r="C56" i="2"/>
  <c r="D56" i="2" s="1"/>
  <c r="C250" i="4" s="1"/>
  <c r="C62" i="2"/>
  <c r="D62" i="2" s="1"/>
  <c r="C256" i="4" s="1"/>
  <c r="C65" i="2"/>
  <c r="D65" i="2" s="1"/>
  <c r="C259" i="4" s="1"/>
  <c r="C68" i="2"/>
  <c r="D68" i="2" s="1"/>
  <c r="C262" i="4" s="1"/>
  <c r="H10" i="4"/>
  <c r="D246" i="4"/>
  <c r="F246" i="4" s="1"/>
  <c r="D277" i="4"/>
  <c r="G277" i="4" s="1"/>
  <c r="D283" i="4"/>
  <c r="F283" i="4" s="1"/>
  <c r="D299" i="4"/>
  <c r="G299" i="4" s="1"/>
  <c r="D306" i="4"/>
  <c r="F306" i="4" s="1"/>
  <c r="D242" i="4"/>
  <c r="G242" i="4" s="1"/>
  <c r="D247" i="4"/>
  <c r="F247" i="4" s="1"/>
  <c r="D265" i="4"/>
  <c r="G265" i="4" s="1"/>
  <c r="D284" i="4"/>
  <c r="G284" i="4" s="1"/>
  <c r="D307" i="4"/>
  <c r="F307" i="4" s="1"/>
  <c r="D243" i="4"/>
  <c r="G243" i="4" s="1"/>
  <c r="D268" i="4"/>
  <c r="F268" i="4" s="1"/>
  <c r="D302" i="4"/>
  <c r="G302" i="4" s="1"/>
  <c r="D132" i="4"/>
  <c r="F132" i="4" s="1"/>
  <c r="D40" i="4"/>
  <c r="G40" i="4" s="1"/>
  <c r="D50" i="4"/>
  <c r="F50" i="4" s="1"/>
  <c r="D136" i="4"/>
  <c r="F136" i="4" s="1"/>
  <c r="D138" i="4"/>
  <c r="G138" i="4" s="1"/>
  <c r="D41" i="4"/>
  <c r="G41" i="4" s="1"/>
  <c r="D94" i="4"/>
  <c r="F94" i="4" s="1"/>
  <c r="D139" i="4"/>
  <c r="G139" i="4" s="1"/>
  <c r="D140" i="4"/>
  <c r="G140" i="4" s="1"/>
  <c r="D142" i="4"/>
  <c r="F142" i="4" s="1"/>
  <c r="D125" i="4"/>
  <c r="F125" i="4" s="1"/>
  <c r="D161" i="4"/>
  <c r="F161" i="4" s="1"/>
  <c r="D162" i="4"/>
  <c r="F162" i="4" s="1"/>
  <c r="D214" i="4"/>
  <c r="F214" i="4" s="1"/>
  <c r="D160" i="4"/>
  <c r="F160" i="4" s="1"/>
  <c r="D114" i="4"/>
  <c r="G114" i="4" s="1"/>
  <c r="D159" i="4"/>
  <c r="F159" i="4" s="1"/>
  <c r="D164" i="4"/>
  <c r="F164" i="4" s="1"/>
  <c r="D165" i="4"/>
  <c r="F165" i="4" s="1"/>
  <c r="D210" i="4"/>
  <c r="G210" i="4" s="1"/>
  <c r="D25" i="4"/>
  <c r="G25" i="4" s="1"/>
  <c r="D35" i="4"/>
  <c r="G35" i="4" s="1"/>
  <c r="D121" i="4"/>
  <c r="F121" i="4" s="1"/>
  <c r="D166" i="4"/>
  <c r="G166" i="4" s="1"/>
  <c r="D168" i="4"/>
  <c r="F168" i="4" s="1"/>
  <c r="D169" i="4"/>
  <c r="F169" i="4" s="1"/>
  <c r="D206" i="4"/>
  <c r="G206" i="4" s="1"/>
  <c r="D26" i="4"/>
  <c r="G26" i="4" s="1"/>
  <c r="D117" i="4"/>
  <c r="F117" i="4" s="1"/>
  <c r="D170" i="4"/>
  <c r="G170" i="4" s="1"/>
  <c r="D172" i="4"/>
  <c r="G172" i="4" s="1"/>
  <c r="D150" i="4"/>
  <c r="G150" i="4" s="1"/>
  <c r="D199" i="4"/>
  <c r="F199" i="4" s="1"/>
  <c r="D144" i="4"/>
  <c r="F144" i="4" s="1"/>
  <c r="D146" i="4"/>
  <c r="F146" i="4" s="1"/>
  <c r="D195" i="4"/>
  <c r="F195" i="4" s="1"/>
  <c r="D99" i="4"/>
  <c r="F99" i="4" s="1"/>
  <c r="D112" i="4"/>
  <c r="G112" i="4" s="1"/>
  <c r="D191" i="4"/>
  <c r="F191" i="4" s="1"/>
  <c r="D10" i="4"/>
  <c r="F10" i="4" s="1"/>
  <c r="D20" i="4"/>
  <c r="G20" i="4" s="1"/>
  <c r="D108" i="4"/>
  <c r="F108" i="4" s="1"/>
  <c r="D151" i="4"/>
  <c r="F151" i="4" s="1"/>
  <c r="D192" i="4"/>
  <c r="F192" i="4" s="1"/>
  <c r="D200" i="4"/>
  <c r="G200" i="4" s="1"/>
  <c r="D11" i="4"/>
  <c r="F11" i="4" s="1"/>
  <c r="D104" i="4"/>
  <c r="F104" i="4" s="1"/>
  <c r="D100" i="4"/>
  <c r="F100" i="4" s="1"/>
  <c r="D147" i="4"/>
  <c r="F147" i="4" s="1"/>
  <c r="D155" i="4"/>
  <c r="F155" i="4" s="1"/>
  <c r="D196" i="4"/>
  <c r="G196" i="4" s="1"/>
  <c r="D236" i="4"/>
  <c r="G236" i="4" s="1"/>
  <c r="D259" i="4"/>
  <c r="F259" i="4" s="1"/>
  <c r="D264" i="4"/>
  <c r="G264" i="4" s="1"/>
  <c r="D270" i="4"/>
  <c r="G270" i="4" s="1"/>
  <c r="D279" i="4"/>
  <c r="G279" i="4" s="1"/>
  <c r="D285" i="4"/>
  <c r="F285" i="4" s="1"/>
  <c r="D237" i="4"/>
  <c r="G237" i="4" s="1"/>
  <c r="D240" i="4"/>
  <c r="F240" i="4" s="1"/>
  <c r="D260" i="4"/>
  <c r="G260" i="4" s="1"/>
  <c r="D271" i="4"/>
  <c r="G271" i="4" s="1"/>
  <c r="D274" i="4"/>
  <c r="F274" i="4" s="1"/>
  <c r="D286" i="4"/>
  <c r="F286" i="4" s="1"/>
  <c r="D289" i="4"/>
  <c r="F289" i="4" s="1"/>
  <c r="D296" i="4"/>
  <c r="F296" i="4" s="1"/>
  <c r="D234" i="4"/>
  <c r="F234" i="4" s="1"/>
  <c r="D241" i="4"/>
  <c r="F241" i="4" s="1"/>
  <c r="D244" i="4"/>
  <c r="F244" i="4" s="1"/>
  <c r="D251" i="4"/>
  <c r="F251" i="4" s="1"/>
  <c r="D256" i="4"/>
  <c r="G256" i="4" s="1"/>
  <c r="D261" i="4"/>
  <c r="F261" i="4" s="1"/>
  <c r="D272" i="4"/>
  <c r="G272" i="4" s="1"/>
  <c r="D275" i="4"/>
  <c r="G275" i="4" s="1"/>
  <c r="D287" i="4"/>
  <c r="G287" i="4" s="1"/>
  <c r="D290" i="4"/>
  <c r="G290" i="4" s="1"/>
  <c r="D297" i="4"/>
  <c r="F297" i="4" s="1"/>
  <c r="D235" i="4"/>
  <c r="F235" i="4" s="1"/>
  <c r="D238" i="4"/>
  <c r="G238" i="4" s="1"/>
  <c r="D266" i="4"/>
  <c r="F266" i="4" s="1"/>
  <c r="D273" i="4"/>
  <c r="F273" i="4" s="1"/>
  <c r="D276" i="4"/>
  <c r="F276" i="4" s="1"/>
  <c r="D17" i="4"/>
  <c r="G17" i="4" s="1"/>
  <c r="D32" i="4"/>
  <c r="G32" i="4" s="1"/>
  <c r="D103" i="4"/>
  <c r="F103" i="4" s="1"/>
  <c r="D107" i="4"/>
  <c r="G107" i="4" s="1"/>
  <c r="D111" i="4"/>
  <c r="F111" i="4" s="1"/>
  <c r="D118" i="4"/>
  <c r="F118" i="4" s="1"/>
  <c r="D126" i="4"/>
  <c r="G126" i="4" s="1"/>
  <c r="D137" i="4"/>
  <c r="F137" i="4" s="1"/>
  <c r="D141" i="4"/>
  <c r="G141" i="4" s="1"/>
  <c r="D21" i="4"/>
  <c r="G21" i="4" s="1"/>
  <c r="D29" i="4"/>
  <c r="G29" i="4" s="1"/>
  <c r="D145" i="4"/>
  <c r="F145" i="4" s="1"/>
  <c r="D149" i="4"/>
  <c r="F149" i="4" s="1"/>
  <c r="D153" i="4"/>
  <c r="F153" i="4" s="1"/>
  <c r="D157" i="4"/>
  <c r="G157" i="4" s="1"/>
  <c r="D163" i="4"/>
  <c r="F163" i="4" s="1"/>
  <c r="D167" i="4"/>
  <c r="F167" i="4" s="1"/>
  <c r="D171" i="4"/>
  <c r="G171" i="4" s="1"/>
  <c r="D175" i="4"/>
  <c r="G175" i="4" s="1"/>
  <c r="D178" i="4"/>
  <c r="F178" i="4" s="1"/>
  <c r="D183" i="4"/>
  <c r="F183" i="4" s="1"/>
  <c r="D187" i="4"/>
  <c r="F187" i="4" s="1"/>
  <c r="D205" i="4"/>
  <c r="G205" i="4" s="1"/>
  <c r="D209" i="4"/>
  <c r="G209" i="4" s="1"/>
  <c r="D217" i="4"/>
  <c r="G217" i="4" s="1"/>
  <c r="D9" i="4"/>
  <c r="F9" i="4" s="1"/>
  <c r="D12" i="4"/>
  <c r="G12" i="4" s="1"/>
  <c r="D15" i="4"/>
  <c r="F15" i="4" s="1"/>
  <c r="D18" i="4"/>
  <c r="F18" i="4" s="1"/>
  <c r="D24" i="4"/>
  <c r="G24" i="4" s="1"/>
  <c r="D27" i="4"/>
  <c r="F27" i="4" s="1"/>
  <c r="D30" i="4"/>
  <c r="D33" i="4"/>
  <c r="G33" i="4" s="1"/>
  <c r="D39" i="4"/>
  <c r="G39" i="4" s="1"/>
  <c r="D42" i="4"/>
  <c r="G42" i="4" s="1"/>
  <c r="D45" i="4"/>
  <c r="F45" i="4" s="1"/>
  <c r="D48" i="4"/>
  <c r="G48" i="4" s="1"/>
  <c r="D55" i="4"/>
  <c r="G55" i="4" s="1"/>
  <c r="D67" i="4"/>
  <c r="F67" i="4" s="1"/>
  <c r="D93" i="4"/>
  <c r="F93" i="4" s="1"/>
  <c r="D176" i="4"/>
  <c r="F176" i="4" s="1"/>
  <c r="D177" i="4"/>
  <c r="F177" i="4" s="1"/>
  <c r="D180" i="4"/>
  <c r="F180" i="4" s="1"/>
  <c r="D181" i="4"/>
  <c r="G181" i="4" s="1"/>
  <c r="D184" i="4"/>
  <c r="F184" i="4" s="1"/>
  <c r="D185" i="4"/>
  <c r="G185" i="4" s="1"/>
  <c r="D189" i="4"/>
  <c r="F189" i="4" s="1"/>
  <c r="D193" i="4"/>
  <c r="F193" i="4" s="1"/>
  <c r="D194" i="4"/>
  <c r="G194" i="4" s="1"/>
  <c r="D197" i="4"/>
  <c r="F197" i="4" s="1"/>
  <c r="D201" i="4"/>
  <c r="F201" i="4" s="1"/>
  <c r="D202" i="4"/>
  <c r="G202" i="4" s="1"/>
  <c r="D208" i="4"/>
  <c r="F208" i="4" s="1"/>
  <c r="D211" i="4"/>
  <c r="G211" i="4" s="1"/>
  <c r="D212" i="4"/>
  <c r="G212" i="4" s="1"/>
  <c r="D216" i="4"/>
  <c r="G216" i="4" s="1"/>
  <c r="D223" i="4"/>
  <c r="G223" i="4" s="1"/>
  <c r="D224" i="4"/>
  <c r="F224" i="4" s="1"/>
  <c r="D227" i="4"/>
  <c r="F227" i="4" s="1"/>
  <c r="D231" i="4"/>
  <c r="G231" i="4" s="1"/>
  <c r="D232" i="4"/>
  <c r="G232" i="4" s="1"/>
  <c r="D47" i="4"/>
  <c r="F47" i="4" s="1"/>
  <c r="D133" i="4"/>
  <c r="G133" i="4" s="1"/>
  <c r="D44" i="4"/>
  <c r="F44" i="4" s="1"/>
  <c r="D51" i="4"/>
  <c r="G51" i="4" s="1"/>
  <c r="D148" i="4"/>
  <c r="G148" i="4" s="1"/>
  <c r="D152" i="4"/>
  <c r="G152" i="4" s="1"/>
  <c r="D156" i="4"/>
  <c r="G156" i="4" s="1"/>
  <c r="D213" i="4"/>
  <c r="F213" i="4" s="1"/>
  <c r="D13" i="4"/>
  <c r="G13" i="4" s="1"/>
  <c r="D16" i="4"/>
  <c r="G16" i="4" s="1"/>
  <c r="D19" i="4"/>
  <c r="F19" i="4" s="1"/>
  <c r="D34" i="4"/>
  <c r="F34" i="4" s="1"/>
  <c r="D37" i="4"/>
  <c r="G37" i="4" s="1"/>
  <c r="D46" i="4"/>
  <c r="F46" i="4" s="1"/>
  <c r="D49" i="4"/>
  <c r="G49" i="4" s="1"/>
  <c r="D64" i="4"/>
  <c r="G64" i="4" s="1"/>
  <c r="D91" i="4"/>
  <c r="G91" i="4" s="1"/>
  <c r="G8" i="4"/>
  <c r="F8" i="4"/>
  <c r="G98" i="4"/>
  <c r="F98" i="4"/>
  <c r="G122" i="4"/>
  <c r="F188" i="4"/>
  <c r="G188" i="4"/>
  <c r="F248" i="4"/>
  <c r="G248" i="4"/>
  <c r="F278" i="4"/>
  <c r="G278" i="4"/>
  <c r="G293" i="4"/>
  <c r="F293" i="4"/>
  <c r="G83" i="4"/>
  <c r="F83" i="4"/>
  <c r="G128" i="4"/>
  <c r="F128" i="4"/>
  <c r="G173" i="4"/>
  <c r="F173" i="4"/>
  <c r="F218" i="4"/>
  <c r="G218" i="4"/>
  <c r="G228" i="4"/>
  <c r="H307" i="4"/>
  <c r="H305" i="4"/>
  <c r="H303" i="4"/>
  <c r="H301" i="4"/>
  <c r="H299" i="4"/>
  <c r="H297" i="4"/>
  <c r="H295" i="4"/>
  <c r="H293" i="4"/>
  <c r="H291" i="4"/>
  <c r="H289" i="4"/>
  <c r="H287" i="4"/>
  <c r="H285" i="4"/>
  <c r="H283" i="4"/>
  <c r="H281" i="4"/>
  <c r="H279" i="4"/>
  <c r="H277" i="4"/>
  <c r="H275" i="4"/>
  <c r="H273" i="4"/>
  <c r="H271" i="4"/>
  <c r="H269" i="4"/>
  <c r="H267" i="4"/>
  <c r="H265" i="4"/>
  <c r="H263" i="4"/>
  <c r="H247" i="4"/>
  <c r="H245" i="4"/>
  <c r="H243" i="4"/>
  <c r="H241" i="4"/>
  <c r="H239" i="4"/>
  <c r="H237" i="4"/>
  <c r="H235" i="4"/>
  <c r="H233" i="4"/>
  <c r="H231" i="4"/>
  <c r="H229" i="4"/>
  <c r="H227" i="4"/>
  <c r="H225" i="4"/>
  <c r="H223" i="4"/>
  <c r="H221" i="4"/>
  <c r="H219" i="4"/>
  <c r="H217" i="4"/>
  <c r="H215" i="4"/>
  <c r="H213" i="4"/>
  <c r="H211" i="4"/>
  <c r="H209" i="4"/>
  <c r="H207" i="4"/>
  <c r="H205" i="4"/>
  <c r="H203" i="4"/>
  <c r="H201" i="4"/>
  <c r="H199" i="4"/>
  <c r="H197" i="4"/>
  <c r="H195" i="4"/>
  <c r="H193" i="4"/>
  <c r="H191" i="4"/>
  <c r="H189" i="4"/>
  <c r="H187" i="4"/>
  <c r="H185" i="4"/>
  <c r="H183" i="4"/>
  <c r="H181" i="4"/>
  <c r="H179" i="4"/>
  <c r="H177" i="4"/>
  <c r="H175" i="4"/>
  <c r="H173" i="4"/>
  <c r="H171" i="4"/>
  <c r="H169" i="4"/>
  <c r="H167" i="4"/>
  <c r="H165" i="4"/>
  <c r="H163" i="4"/>
  <c r="H161" i="4"/>
  <c r="H159" i="4"/>
  <c r="H157" i="4"/>
  <c r="H155" i="4"/>
  <c r="H153" i="4"/>
  <c r="H151" i="4"/>
  <c r="H149" i="4"/>
  <c r="H147" i="4"/>
  <c r="H145" i="4"/>
  <c r="H143" i="4"/>
  <c r="H141" i="4"/>
  <c r="H139" i="4"/>
  <c r="H137" i="4"/>
  <c r="H302" i="4"/>
  <c r="H298" i="4"/>
  <c r="H294" i="4"/>
  <c r="H244" i="4"/>
  <c r="H240" i="4"/>
  <c r="H236" i="4"/>
  <c r="H202" i="4"/>
  <c r="H198" i="4"/>
  <c r="H194" i="4"/>
  <c r="H190" i="4"/>
  <c r="H186" i="4"/>
  <c r="H182" i="4"/>
  <c r="H178" i="4"/>
  <c r="H174" i="4"/>
  <c r="H140" i="4"/>
  <c r="H306" i="4"/>
  <c r="H304" i="4"/>
  <c r="H300" i="4"/>
  <c r="H296" i="4"/>
  <c r="H246" i="4"/>
  <c r="H242" i="4"/>
  <c r="H238" i="4"/>
  <c r="H234" i="4"/>
  <c r="H200" i="4"/>
  <c r="H196" i="4"/>
  <c r="H192" i="4"/>
  <c r="H188" i="4"/>
  <c r="H184" i="4"/>
  <c r="H180" i="4"/>
  <c r="H176" i="4"/>
  <c r="H144" i="4"/>
  <c r="H286" i="4"/>
  <c r="H278" i="4"/>
  <c r="H276" i="4"/>
  <c r="H268" i="4"/>
  <c r="H232" i="4"/>
  <c r="H224" i="4"/>
  <c r="H214" i="4"/>
  <c r="H206" i="4"/>
  <c r="H170" i="4"/>
  <c r="H162" i="4"/>
  <c r="H152" i="4"/>
  <c r="H138" i="4"/>
  <c r="H135" i="4"/>
  <c r="H131" i="4"/>
  <c r="H126" i="4"/>
  <c r="H122" i="4"/>
  <c r="H118" i="4"/>
  <c r="H114" i="4"/>
  <c r="H109" i="4"/>
  <c r="H105" i="4"/>
  <c r="H101" i="4"/>
  <c r="H50" i="4"/>
  <c r="H46" i="4"/>
  <c r="H43" i="4"/>
  <c r="H42" i="4"/>
  <c r="H28" i="4"/>
  <c r="H23" i="4"/>
  <c r="H17" i="4"/>
  <c r="H13" i="4"/>
  <c r="H292" i="4"/>
  <c r="H284" i="4"/>
  <c r="H274" i="4"/>
  <c r="H266" i="4"/>
  <c r="H230" i="4"/>
  <c r="H222" i="4"/>
  <c r="H212" i="4"/>
  <c r="H204" i="4"/>
  <c r="H168" i="4"/>
  <c r="H160" i="4"/>
  <c r="H150" i="4"/>
  <c r="H142" i="4"/>
  <c r="H134" i="4"/>
  <c r="H130" i="4"/>
  <c r="H125" i="4"/>
  <c r="H121" i="4"/>
  <c r="H117" i="4"/>
  <c r="H113" i="4"/>
  <c r="H112" i="4"/>
  <c r="H108" i="4"/>
  <c r="H104" i="4"/>
  <c r="H100" i="4"/>
  <c r="H51" i="4"/>
  <c r="H47" i="4"/>
  <c r="H27" i="4"/>
  <c r="H22" i="4"/>
  <c r="H18" i="4"/>
  <c r="H290" i="4"/>
  <c r="H282" i="4"/>
  <c r="H272" i="4"/>
  <c r="H264" i="4"/>
  <c r="H228" i="4"/>
  <c r="H220" i="4"/>
  <c r="H210" i="4"/>
  <c r="H166" i="4"/>
  <c r="H158" i="4"/>
  <c r="H156" i="4"/>
  <c r="H148" i="4"/>
  <c r="H133" i="4"/>
  <c r="H129" i="4"/>
  <c r="H124" i="4"/>
  <c r="H120" i="4"/>
  <c r="H116" i="4"/>
  <c r="H111" i="4"/>
  <c r="H107" i="4"/>
  <c r="H103" i="4"/>
  <c r="H52" i="4"/>
  <c r="H48" i="4"/>
  <c r="H45" i="4"/>
  <c r="H44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5" i="4"/>
  <c r="H21" i="4"/>
  <c r="H19" i="4"/>
  <c r="H15" i="4"/>
  <c r="H11" i="4"/>
  <c r="H288" i="4"/>
  <c r="H280" i="4"/>
  <c r="H270" i="4"/>
  <c r="H226" i="4"/>
  <c r="H218" i="4"/>
  <c r="H216" i="4"/>
  <c r="H208" i="4"/>
  <c r="H172" i="4"/>
  <c r="H164" i="4"/>
  <c r="H154" i="4"/>
  <c r="H146" i="4"/>
  <c r="H136" i="4"/>
  <c r="H132" i="4"/>
  <c r="H128" i="4"/>
  <c r="H127" i="4"/>
  <c r="H123" i="4"/>
  <c r="H119" i="4"/>
  <c r="H115" i="4"/>
  <c r="H110" i="4"/>
  <c r="H106" i="4"/>
  <c r="H102" i="4"/>
  <c r="H98" i="4"/>
  <c r="H49" i="4"/>
  <c r="H26" i="4"/>
  <c r="H24" i="4"/>
  <c r="H20" i="4"/>
  <c r="H16" i="4"/>
  <c r="H12" i="4"/>
  <c r="K7" i="2"/>
  <c r="H96" i="4"/>
  <c r="H14" i="4"/>
  <c r="F53" i="4"/>
  <c r="G53" i="4"/>
  <c r="F143" i="4"/>
  <c r="G143" i="4"/>
  <c r="G291" i="4"/>
  <c r="F291" i="4"/>
  <c r="F222" i="4"/>
  <c r="G43" i="4"/>
  <c r="G263" i="4"/>
  <c r="F263" i="4"/>
  <c r="G229" i="4"/>
  <c r="F229" i="4"/>
  <c r="G295" i="4"/>
  <c r="F295" i="4"/>
  <c r="G303" i="4"/>
  <c r="G52" i="4"/>
  <c r="F23" i="4"/>
  <c r="G23" i="4"/>
  <c r="F38" i="4"/>
  <c r="G38" i="4"/>
  <c r="G233" i="4"/>
  <c r="F233" i="4"/>
  <c r="G68" i="4"/>
  <c r="F68" i="4"/>
  <c r="G109" i="4"/>
  <c r="F109" i="4"/>
  <c r="G113" i="4"/>
  <c r="F113" i="4"/>
  <c r="F158" i="4"/>
  <c r="G158" i="4"/>
  <c r="G203" i="4"/>
  <c r="F203" i="4"/>
  <c r="F219" i="4"/>
  <c r="F305" i="4"/>
  <c r="C10" i="2"/>
  <c r="D10" i="2" s="1"/>
  <c r="C54" i="4" s="1"/>
  <c r="C14" i="2"/>
  <c r="D14" i="2" s="1"/>
  <c r="C58" i="4" s="1"/>
  <c r="C18" i="2"/>
  <c r="D18" i="2" s="1"/>
  <c r="C62" i="4" s="1"/>
  <c r="C22" i="2"/>
  <c r="D22" i="2" s="1"/>
  <c r="C66" i="4" s="1"/>
  <c r="C28" i="2"/>
  <c r="D28" i="2" s="1"/>
  <c r="C72" i="4" s="1"/>
  <c r="C32" i="2"/>
  <c r="D32" i="2" s="1"/>
  <c r="C76" i="4" s="1"/>
  <c r="C36" i="2"/>
  <c r="D36" i="2" s="1"/>
  <c r="C80" i="4" s="1"/>
  <c r="C42" i="2"/>
  <c r="D42" i="2" s="1"/>
  <c r="C86" i="4" s="1"/>
  <c r="C46" i="2"/>
  <c r="D46" i="2" s="1"/>
  <c r="C90" i="4" s="1"/>
  <c r="C50" i="2"/>
  <c r="D50" i="2" s="1"/>
  <c r="C94" i="4" s="1"/>
  <c r="C55" i="2"/>
  <c r="D55" i="2" s="1"/>
  <c r="C249" i="4" s="1"/>
  <c r="C59" i="2"/>
  <c r="D59" i="2" s="1"/>
  <c r="C253" i="4" s="1"/>
  <c r="C63" i="2"/>
  <c r="D63" i="2" s="1"/>
  <c r="C257" i="4" s="1"/>
  <c r="H8" i="4"/>
  <c r="H9" i="4"/>
  <c r="I11" i="4" l="1"/>
  <c r="I43" i="4"/>
  <c r="P28" i="4"/>
  <c r="N28" i="4"/>
  <c r="Q28" i="4"/>
  <c r="O28" i="4"/>
  <c r="Q29" i="4"/>
  <c r="P29" i="4"/>
  <c r="N29" i="4"/>
  <c r="O29" i="4"/>
  <c r="P27" i="4"/>
  <c r="N27" i="4"/>
  <c r="Q27" i="4"/>
  <c r="O27" i="4"/>
  <c r="N26" i="4"/>
  <c r="P26" i="4"/>
  <c r="Q26" i="4"/>
  <c r="O26" i="4"/>
  <c r="I308" i="4"/>
  <c r="I190" i="4"/>
  <c r="I298" i="4"/>
  <c r="I303" i="4"/>
  <c r="I13" i="4"/>
  <c r="I369" i="4"/>
  <c r="I205" i="4"/>
  <c r="I112" i="4"/>
  <c r="I356" i="4"/>
  <c r="I247" i="4"/>
  <c r="I318" i="4"/>
  <c r="I218" i="4"/>
  <c r="I373" i="4"/>
  <c r="I106" i="4"/>
  <c r="I216" i="4"/>
  <c r="I227" i="4"/>
  <c r="I374" i="4"/>
  <c r="I110" i="4"/>
  <c r="I34" i="4"/>
  <c r="I295" i="4"/>
  <c r="I196" i="4"/>
  <c r="I367" i="4"/>
  <c r="I50" i="4"/>
  <c r="I376" i="4"/>
  <c r="I212" i="4"/>
  <c r="I155" i="4"/>
  <c r="I140" i="4"/>
  <c r="I208" i="4"/>
  <c r="I306" i="4"/>
  <c r="I198" i="4"/>
  <c r="I125" i="4"/>
  <c r="I236" i="4"/>
  <c r="I193" i="4"/>
  <c r="I220" i="4"/>
  <c r="I363" i="4"/>
  <c r="I32" i="4"/>
  <c r="I8" i="4"/>
  <c r="I12" i="4"/>
  <c r="I48" i="4"/>
  <c r="I24" i="4"/>
  <c r="I313" i="4"/>
  <c r="I20" i="4"/>
  <c r="I38" i="4"/>
  <c r="I192" i="4"/>
  <c r="I377" i="4"/>
  <c r="I299" i="4"/>
  <c r="I213" i="4"/>
  <c r="I382" i="4"/>
  <c r="I346" i="4"/>
  <c r="I185" i="4"/>
  <c r="I241" i="4"/>
  <c r="I30" i="4"/>
  <c r="I35" i="4"/>
  <c r="I29" i="4"/>
  <c r="I18" i="4"/>
  <c r="I44" i="4"/>
  <c r="I246" i="4"/>
  <c r="I199" i="4"/>
  <c r="I202" i="4"/>
  <c r="I379" i="4"/>
  <c r="I293" i="4"/>
  <c r="I275" i="4"/>
  <c r="I170" i="4"/>
  <c r="I9" i="4"/>
  <c r="I234" i="4"/>
  <c r="I316" i="4"/>
  <c r="I45" i="4"/>
  <c r="I39" i="4"/>
  <c r="I33" i="4"/>
  <c r="I322" i="4"/>
  <c r="I309" i="4"/>
  <c r="I296" i="4"/>
  <c r="I217" i="4"/>
  <c r="I195" i="4"/>
  <c r="I372" i="4"/>
  <c r="I222" i="4"/>
  <c r="I104" i="4"/>
  <c r="I175" i="4"/>
  <c r="I357" i="4"/>
  <c r="I47" i="4"/>
  <c r="I239" i="4"/>
  <c r="I37" i="4"/>
  <c r="I49" i="4"/>
  <c r="I243" i="4"/>
  <c r="I14" i="4"/>
  <c r="I223" i="4"/>
  <c r="I297" i="4"/>
  <c r="I211" i="4"/>
  <c r="I189" i="4"/>
  <c r="I294" i="4"/>
  <c r="I113" i="4"/>
  <c r="I159" i="4"/>
  <c r="I286" i="4"/>
  <c r="G221" i="4"/>
  <c r="F130" i="4"/>
  <c r="I19" i="4"/>
  <c r="I23" i="4"/>
  <c r="I320" i="4"/>
  <c r="I25" i="4"/>
  <c r="I10" i="4"/>
  <c r="I314" i="4"/>
  <c r="I36" i="4"/>
  <c r="I245" i="4"/>
  <c r="I238" i="4"/>
  <c r="I215" i="4"/>
  <c r="I232" i="4"/>
  <c r="I209" i="4"/>
  <c r="I194" i="4"/>
  <c r="I378" i="4"/>
  <c r="I371" i="4"/>
  <c r="I300" i="4"/>
  <c r="I229" i="4"/>
  <c r="I214" i="4"/>
  <c r="I343" i="4"/>
  <c r="I135" i="4"/>
  <c r="I137" i="4"/>
  <c r="I130" i="4"/>
  <c r="I115" i="4"/>
  <c r="I100" i="4"/>
  <c r="I340" i="4"/>
  <c r="I269" i="4"/>
  <c r="I134" i="4"/>
  <c r="I151" i="4"/>
  <c r="I152" i="4"/>
  <c r="I145" i="4"/>
  <c r="I353" i="4"/>
  <c r="I282" i="4"/>
  <c r="I179" i="4"/>
  <c r="I164" i="4"/>
  <c r="I157" i="4"/>
  <c r="I158" i="4"/>
  <c r="I127" i="4"/>
  <c r="I263" i="4"/>
  <c r="I265" i="4"/>
  <c r="I138" i="4"/>
  <c r="I123" i="4"/>
  <c r="I108" i="4"/>
  <c r="I348" i="4"/>
  <c r="I277" i="4"/>
  <c r="I142" i="4"/>
  <c r="I183" i="4"/>
  <c r="I184" i="4"/>
  <c r="I153" i="4"/>
  <c r="I361" i="4"/>
  <c r="I290" i="4"/>
  <c r="I187" i="4"/>
  <c r="I172" i="4"/>
  <c r="I165" i="4"/>
  <c r="I166" i="4"/>
  <c r="I15" i="4"/>
  <c r="I51" i="4"/>
  <c r="I319" i="4"/>
  <c r="I31" i="4"/>
  <c r="I41" i="4"/>
  <c r="I26" i="4"/>
  <c r="I235" i="4"/>
  <c r="I52" i="4"/>
  <c r="I317" i="4"/>
  <c r="I310" i="4"/>
  <c r="I191" i="4"/>
  <c r="I231" i="4"/>
  <c r="I225" i="4"/>
  <c r="I210" i="4"/>
  <c r="I203" i="4"/>
  <c r="I188" i="4"/>
  <c r="I380" i="4"/>
  <c r="I301" i="4"/>
  <c r="I230" i="4"/>
  <c r="I136" i="4"/>
  <c r="I120" i="4"/>
  <c r="I344" i="4"/>
  <c r="I273" i="4"/>
  <c r="I266" i="4"/>
  <c r="I131" i="4"/>
  <c r="I116" i="4"/>
  <c r="I101" i="4"/>
  <c r="I341" i="4"/>
  <c r="I270" i="4"/>
  <c r="I279" i="4"/>
  <c r="I280" i="4"/>
  <c r="I161" i="4"/>
  <c r="I146" i="4"/>
  <c r="I354" i="4"/>
  <c r="I283" i="4"/>
  <c r="I180" i="4"/>
  <c r="I173" i="4"/>
  <c r="I174" i="4"/>
  <c r="I264" i="4"/>
  <c r="I351" i="4"/>
  <c r="I352" i="4"/>
  <c r="I345" i="4"/>
  <c r="I274" i="4"/>
  <c r="I139" i="4"/>
  <c r="I124" i="4"/>
  <c r="I109" i="4"/>
  <c r="I349" i="4"/>
  <c r="I342" i="4"/>
  <c r="I168" i="4"/>
  <c r="I160" i="4"/>
  <c r="I169" i="4"/>
  <c r="I154" i="4"/>
  <c r="I362" i="4"/>
  <c r="I291" i="4"/>
  <c r="I284" i="4"/>
  <c r="I181" i="4"/>
  <c r="I182" i="4"/>
  <c r="F123" i="4"/>
  <c r="F294" i="4"/>
  <c r="I16" i="4"/>
  <c r="I311" i="4"/>
  <c r="I312" i="4"/>
  <c r="I27" i="4"/>
  <c r="I233" i="4"/>
  <c r="I42" i="4"/>
  <c r="I315" i="4"/>
  <c r="I244" i="4"/>
  <c r="I22" i="4"/>
  <c r="I207" i="4"/>
  <c r="I200" i="4"/>
  <c r="I375" i="4"/>
  <c r="I305" i="4"/>
  <c r="I226" i="4"/>
  <c r="I219" i="4"/>
  <c r="I204" i="4"/>
  <c r="I197" i="4"/>
  <c r="I381" i="4"/>
  <c r="I302" i="4"/>
  <c r="I271" i="4"/>
  <c r="I128" i="4"/>
  <c r="I105" i="4"/>
  <c r="I98" i="4"/>
  <c r="I338" i="4"/>
  <c r="I267" i="4"/>
  <c r="I132" i="4"/>
  <c r="I117" i="4"/>
  <c r="I102" i="4"/>
  <c r="I350" i="4"/>
  <c r="I143" i="4"/>
  <c r="I288" i="4"/>
  <c r="I177" i="4"/>
  <c r="I162" i="4"/>
  <c r="I147" i="4"/>
  <c r="I355" i="4"/>
  <c r="I292" i="4"/>
  <c r="I285" i="4"/>
  <c r="I278" i="4"/>
  <c r="I272" i="4"/>
  <c r="I111" i="4"/>
  <c r="I121" i="4"/>
  <c r="I114" i="4"/>
  <c r="I99" i="4"/>
  <c r="I339" i="4"/>
  <c r="I268" i="4"/>
  <c r="I133" i="4"/>
  <c r="I118" i="4"/>
  <c r="I144" i="4"/>
  <c r="I287" i="4"/>
  <c r="I167" i="4"/>
  <c r="I281" i="4"/>
  <c r="I178" i="4"/>
  <c r="I163" i="4"/>
  <c r="I148" i="4"/>
  <c r="I364" i="4"/>
  <c r="I365" i="4"/>
  <c r="I358" i="4"/>
  <c r="G207" i="4"/>
  <c r="I240" i="4"/>
  <c r="I21" i="4"/>
  <c r="I40" i="4"/>
  <c r="I17" i="4"/>
  <c r="I321" i="4"/>
  <c r="I242" i="4"/>
  <c r="I28" i="4"/>
  <c r="I237" i="4"/>
  <c r="I304" i="4"/>
  <c r="I224" i="4"/>
  <c r="I201" i="4"/>
  <c r="I368" i="4"/>
  <c r="I370" i="4"/>
  <c r="I307" i="4"/>
  <c r="I228" i="4"/>
  <c r="I221" i="4"/>
  <c r="I119" i="4"/>
  <c r="I103" i="4"/>
  <c r="I129" i="4"/>
  <c r="I122" i="4"/>
  <c r="I107" i="4"/>
  <c r="I347" i="4"/>
  <c r="I276" i="4"/>
  <c r="I141" i="4"/>
  <c r="I176" i="4"/>
  <c r="I359" i="4"/>
  <c r="I360" i="4"/>
  <c r="I289" i="4"/>
  <c r="I186" i="4"/>
  <c r="I171" i="4"/>
  <c r="I156" i="4"/>
  <c r="I149" i="4"/>
  <c r="I150" i="4"/>
  <c r="K285" i="15"/>
  <c r="G285" i="15"/>
  <c r="H285" i="15"/>
  <c r="K460" i="15"/>
  <c r="H460" i="15"/>
  <c r="K820" i="15"/>
  <c r="H820" i="15"/>
  <c r="G292" i="15"/>
  <c r="H824" i="15"/>
  <c r="G461" i="15"/>
  <c r="G832" i="15"/>
  <c r="H461" i="15"/>
  <c r="G642" i="15"/>
  <c r="G469" i="15"/>
  <c r="G824" i="15"/>
  <c r="H640" i="15"/>
  <c r="H292" i="15"/>
  <c r="K464" i="15"/>
  <c r="G464" i="15"/>
  <c r="H464" i="15"/>
  <c r="K290" i="15"/>
  <c r="G290" i="15"/>
  <c r="H290" i="15"/>
  <c r="K280" i="15"/>
  <c r="H280" i="15"/>
  <c r="K286" i="15"/>
  <c r="H286" i="15"/>
  <c r="G286" i="15"/>
  <c r="M41" i="15" a="1"/>
  <c r="M41" i="15" s="1"/>
  <c r="N41" i="15" s="1"/>
  <c r="R41" i="15" s="1"/>
  <c r="K875" i="15"/>
  <c r="M40" i="15" a="1"/>
  <c r="M40" i="15" s="1"/>
  <c r="K845" i="15"/>
  <c r="M36" i="15" a="1"/>
  <c r="M36" i="15" s="1"/>
  <c r="N36" i="15" s="1"/>
  <c r="K673" i="15"/>
  <c r="G106" i="15"/>
  <c r="K106" i="15"/>
  <c r="G821" i="15"/>
  <c r="K821" i="15"/>
  <c r="H821" i="15"/>
  <c r="K282" i="15"/>
  <c r="G282" i="15"/>
  <c r="H282" i="15"/>
  <c r="G284" i="15"/>
  <c r="G102" i="15"/>
  <c r="K102" i="15"/>
  <c r="G112" i="15"/>
  <c r="G650" i="15"/>
  <c r="H112" i="15"/>
  <c r="H650" i="15"/>
  <c r="G645" i="15"/>
  <c r="H110" i="15"/>
  <c r="K110" i="15"/>
  <c r="G820" i="15"/>
  <c r="H105" i="15"/>
  <c r="G652" i="15"/>
  <c r="M34" i="15" a="1"/>
  <c r="M34" i="15" s="1"/>
  <c r="N34" i="15" s="1"/>
  <c r="R34" i="15" s="1"/>
  <c r="G472" i="15"/>
  <c r="H649" i="15"/>
  <c r="H102" i="15"/>
  <c r="G100" i="15"/>
  <c r="K100" i="15"/>
  <c r="M37" i="15" a="1"/>
  <c r="M37" i="15" s="1"/>
  <c r="K674" i="15"/>
  <c r="H104" i="15"/>
  <c r="H822" i="15"/>
  <c r="H109" i="15"/>
  <c r="H642" i="15"/>
  <c r="H829" i="15"/>
  <c r="G460" i="15"/>
  <c r="M35" i="15" a="1"/>
  <c r="M35" i="15" s="1"/>
  <c r="K644" i="15"/>
  <c r="H281" i="15"/>
  <c r="H284" i="15"/>
  <c r="H466" i="15"/>
  <c r="M21" i="15" a="1"/>
  <c r="M21" i="15" s="1"/>
  <c r="N21" i="15" s="1"/>
  <c r="K406" i="15"/>
  <c r="M23" i="15" a="1"/>
  <c r="M23" i="15" s="1"/>
  <c r="N23" i="15" s="1"/>
  <c r="K558" i="15"/>
  <c r="M30" i="15" a="1"/>
  <c r="M30" i="15" s="1"/>
  <c r="M33" i="15" a="1"/>
  <c r="M33" i="15" s="1"/>
  <c r="N33" i="15" s="1"/>
  <c r="O33" i="15" s="1"/>
  <c r="M31" i="15" a="1"/>
  <c r="M31" i="15" s="1"/>
  <c r="N31" i="15" s="1"/>
  <c r="R31" i="15" s="1"/>
  <c r="M20" i="15" a="1"/>
  <c r="M20" i="15" s="1"/>
  <c r="N20" i="15" s="1"/>
  <c r="K588" i="15"/>
  <c r="M32" i="15" a="1"/>
  <c r="M32" i="15" s="1"/>
  <c r="K10" i="15"/>
  <c r="N39" i="15"/>
  <c r="R39" i="15" s="1"/>
  <c r="N38" i="15"/>
  <c r="P38" i="15" s="1"/>
  <c r="K220" i="15"/>
  <c r="M13" i="15" a="1"/>
  <c r="M13" i="15" s="1"/>
  <c r="K190" i="15"/>
  <c r="M12" i="15" a="1"/>
  <c r="M12" i="15" s="1"/>
  <c r="M22" i="15" a="1"/>
  <c r="M22" i="15" s="1"/>
  <c r="N22" i="15" s="1"/>
  <c r="G230" i="4"/>
  <c r="G226" i="4"/>
  <c r="G281" i="4"/>
  <c r="F106" i="4"/>
  <c r="F101" i="4"/>
  <c r="G269" i="4"/>
  <c r="F188" i="9"/>
  <c r="G34" i="2"/>
  <c r="J78" i="4" s="1"/>
  <c r="G28" i="2"/>
  <c r="J72" i="4" s="1"/>
  <c r="G20" i="2"/>
  <c r="J64" i="4" s="1"/>
  <c r="G29" i="6"/>
  <c r="J163" i="4" s="1"/>
  <c r="G16" i="7"/>
  <c r="J195" i="4" s="1"/>
  <c r="G20" i="7"/>
  <c r="J199" i="4" s="1"/>
  <c r="G31" i="6"/>
  <c r="J165" i="4" s="1"/>
  <c r="G29" i="7"/>
  <c r="J208" i="4" s="1"/>
  <c r="G36" i="6"/>
  <c r="J170" i="4" s="1"/>
  <c r="G35" i="5"/>
  <c r="J124" i="4" s="1"/>
  <c r="G29" i="5"/>
  <c r="J118" i="4" s="1"/>
  <c r="G34" i="6"/>
  <c r="J168" i="4" s="1"/>
  <c r="G31" i="5"/>
  <c r="J120" i="4" s="1"/>
  <c r="G35" i="7"/>
  <c r="J214" i="4" s="1"/>
  <c r="G16" i="2"/>
  <c r="J60" i="4" s="1"/>
  <c r="G16" i="5"/>
  <c r="J105" i="4" s="1"/>
  <c r="F25" i="8"/>
  <c r="F25" i="6"/>
  <c r="F26" i="8"/>
  <c r="G26" i="8" s="1"/>
  <c r="J25" i="4" s="1"/>
  <c r="F25" i="2"/>
  <c r="G25" i="2" s="1"/>
  <c r="J69" i="4" s="1"/>
  <c r="F26" i="5"/>
  <c r="F26" i="2"/>
  <c r="G26" i="2" s="1"/>
  <c r="J70" i="4" s="1"/>
  <c r="G22" i="8"/>
  <c r="J21" i="4" s="1"/>
  <c r="G10" i="5"/>
  <c r="J99" i="4" s="1"/>
  <c r="G23" i="7"/>
  <c r="J202" i="4" s="1"/>
  <c r="G19" i="7"/>
  <c r="J198" i="4" s="1"/>
  <c r="F245" i="4"/>
  <c r="G134" i="4"/>
  <c r="F120" i="4"/>
  <c r="F154" i="4"/>
  <c r="G102" i="4"/>
  <c r="G179" i="4"/>
  <c r="F110" i="4"/>
  <c r="F298" i="4"/>
  <c r="F301" i="4"/>
  <c r="G182" i="4"/>
  <c r="F129" i="4"/>
  <c r="F14" i="4"/>
  <c r="G649" i="15"/>
  <c r="G220" i="4"/>
  <c r="F304" i="4"/>
  <c r="G288" i="4"/>
  <c r="F22" i="4"/>
  <c r="H106" i="15"/>
  <c r="N43" i="15"/>
  <c r="P43" i="15" s="1"/>
  <c r="N42" i="15"/>
  <c r="R42" i="15" s="1"/>
  <c r="M28" i="15" a="1"/>
  <c r="M28" i="15" s="1"/>
  <c r="M27" i="15" a="1"/>
  <c r="M27" i="15" s="1"/>
  <c r="G280" i="15"/>
  <c r="Q49" i="15"/>
  <c r="P48" i="15"/>
  <c r="R46" i="15"/>
  <c r="N19" i="15"/>
  <c r="R19" i="15" s="1"/>
  <c r="P45" i="15"/>
  <c r="P44" i="15"/>
  <c r="P46" i="15"/>
  <c r="P47" i="15"/>
  <c r="Q47" i="15"/>
  <c r="R48" i="15"/>
  <c r="M16" i="15" a="1"/>
  <c r="M16" i="15" s="1"/>
  <c r="N26" i="15"/>
  <c r="Q45" i="15"/>
  <c r="Q44" i="15"/>
  <c r="Q48" i="15"/>
  <c r="Q46" i="15"/>
  <c r="R45" i="15"/>
  <c r="R44" i="15"/>
  <c r="R47" i="15"/>
  <c r="R49" i="15"/>
  <c r="P49" i="15"/>
  <c r="G257" i="4"/>
  <c r="F257" i="4"/>
  <c r="G258" i="4"/>
  <c r="F258" i="4"/>
  <c r="F252" i="4"/>
  <c r="G252" i="4"/>
  <c r="F254" i="4"/>
  <c r="G254" i="4"/>
  <c r="F282" i="4"/>
  <c r="G198" i="4"/>
  <c r="G186" i="4"/>
  <c r="G190" i="4"/>
  <c r="F225" i="4"/>
  <c r="F105" i="4"/>
  <c r="G292" i="4"/>
  <c r="F300" i="4"/>
  <c r="G127" i="4"/>
  <c r="F116" i="4"/>
  <c r="F115" i="4"/>
  <c r="F28" i="4"/>
  <c r="F31" i="4"/>
  <c r="F124" i="4"/>
  <c r="F215" i="4"/>
  <c r="F119" i="4"/>
  <c r="F90" i="4"/>
  <c r="G90" i="4"/>
  <c r="F84" i="4"/>
  <c r="G36" i="4"/>
  <c r="G204" i="4"/>
  <c r="G58" i="4"/>
  <c r="F58" i="4"/>
  <c r="G66" i="4"/>
  <c r="F66" i="4"/>
  <c r="F62" i="4"/>
  <c r="G62" i="4"/>
  <c r="F54" i="4"/>
  <c r="G54" i="4"/>
  <c r="G86" i="4"/>
  <c r="F250" i="4"/>
  <c r="N18" i="15"/>
  <c r="R18" i="15" s="1"/>
  <c r="N11" i="15"/>
  <c r="O11" i="15" s="1"/>
  <c r="N15" i="15"/>
  <c r="R15" i="15" s="1"/>
  <c r="AH7" i="4"/>
  <c r="N14" i="15"/>
  <c r="P14" i="15" s="1"/>
  <c r="AH8" i="4"/>
  <c r="AH9" i="4"/>
  <c r="AH6" i="4"/>
  <c r="X14" i="4"/>
  <c r="W15" i="4"/>
  <c r="X9" i="4"/>
  <c r="W9" i="4"/>
  <c r="X5" i="4"/>
  <c r="X13" i="4"/>
  <c r="W14" i="4"/>
  <c r="X8" i="4"/>
  <c r="W8" i="4"/>
  <c r="W5" i="4"/>
  <c r="X16" i="4"/>
  <c r="X12" i="4"/>
  <c r="W13" i="4"/>
  <c r="X7" i="4"/>
  <c r="W7" i="4"/>
  <c r="X15" i="4"/>
  <c r="W16" i="4"/>
  <c r="W12" i="4"/>
  <c r="X6" i="4"/>
  <c r="W6" i="4"/>
  <c r="N10" i="15"/>
  <c r="N8" i="15"/>
  <c r="N9" i="15"/>
  <c r="H497" i="15"/>
  <c r="G497" i="15"/>
  <c r="H474" i="15"/>
  <c r="G474" i="15"/>
  <c r="H663" i="15"/>
  <c r="G663" i="15"/>
  <c r="H415" i="15"/>
  <c r="G415" i="15"/>
  <c r="H579" i="15"/>
  <c r="G579" i="15"/>
  <c r="H745" i="15"/>
  <c r="G745" i="15"/>
  <c r="H191" i="15"/>
  <c r="G191" i="15"/>
  <c r="H29" i="15"/>
  <c r="G29" i="15"/>
  <c r="H845" i="15"/>
  <c r="G845" i="15"/>
  <c r="H315" i="15"/>
  <c r="G315" i="15"/>
  <c r="G872" i="15"/>
  <c r="H872" i="15"/>
  <c r="H667" i="15"/>
  <c r="G667" i="15"/>
  <c r="H325" i="15"/>
  <c r="G325" i="15"/>
  <c r="H240" i="15"/>
  <c r="G240" i="15"/>
  <c r="H60" i="15"/>
  <c r="G60" i="15"/>
  <c r="G552" i="15"/>
  <c r="H552" i="15"/>
  <c r="H647" i="15"/>
  <c r="G647" i="15"/>
  <c r="H489" i="15"/>
  <c r="G489" i="15"/>
  <c r="H326" i="15"/>
  <c r="G326" i="15"/>
  <c r="H146" i="15"/>
  <c r="G146" i="15"/>
  <c r="H850" i="15"/>
  <c r="G850" i="15"/>
  <c r="H319" i="15"/>
  <c r="G319" i="15"/>
  <c r="H139" i="15"/>
  <c r="G139" i="15"/>
  <c r="H835" i="15"/>
  <c r="G835" i="15"/>
  <c r="G672" i="15"/>
  <c r="H672" i="15"/>
  <c r="H329" i="15"/>
  <c r="G329" i="15"/>
  <c r="H237" i="15"/>
  <c r="G237" i="15"/>
  <c r="H57" i="15"/>
  <c r="G57" i="15"/>
  <c r="H782" i="15"/>
  <c r="G782" i="15"/>
  <c r="H603" i="15"/>
  <c r="G603" i="15"/>
  <c r="G604" i="15"/>
  <c r="H604" i="15"/>
  <c r="H225" i="15"/>
  <c r="G225" i="15"/>
  <c r="H45" i="15"/>
  <c r="G45" i="15"/>
  <c r="H767" i="15"/>
  <c r="G767" i="15"/>
  <c r="G582" i="15"/>
  <c r="H582" i="15"/>
  <c r="G572" i="15"/>
  <c r="H572" i="15"/>
  <c r="H213" i="15"/>
  <c r="G213" i="15"/>
  <c r="H33" i="15"/>
  <c r="G33" i="15"/>
  <c r="H730" i="15"/>
  <c r="G730" i="15"/>
  <c r="H559" i="15"/>
  <c r="G559" i="15"/>
  <c r="H558" i="15"/>
  <c r="G558" i="15"/>
  <c r="H221" i="15"/>
  <c r="G221" i="15"/>
  <c r="H41" i="15"/>
  <c r="G41" i="15"/>
  <c r="G748" i="15"/>
  <c r="H748" i="15"/>
  <c r="H562" i="15"/>
  <c r="G562" i="15"/>
  <c r="H471" i="15"/>
  <c r="G471" i="15"/>
  <c r="H313" i="15"/>
  <c r="G313" i="15"/>
  <c r="H133" i="15"/>
  <c r="G133" i="15"/>
  <c r="H870" i="15"/>
  <c r="G870" i="15"/>
  <c r="G657" i="15"/>
  <c r="H657" i="15"/>
  <c r="H314" i="15"/>
  <c r="G314" i="15"/>
  <c r="H335" i="15"/>
  <c r="G335" i="15"/>
  <c r="H155" i="15"/>
  <c r="G155" i="15"/>
  <c r="H770" i="15"/>
  <c r="G770" i="15"/>
  <c r="H666" i="15"/>
  <c r="G666" i="15"/>
  <c r="G504" i="15"/>
  <c r="H504" i="15"/>
  <c r="H299" i="15"/>
  <c r="G299" i="15"/>
  <c r="H119" i="15"/>
  <c r="G119" i="15"/>
  <c r="G856" i="15"/>
  <c r="H856" i="15"/>
  <c r="H693" i="15"/>
  <c r="G693" i="15"/>
  <c r="H425" i="15"/>
  <c r="G425" i="15"/>
  <c r="H246" i="15"/>
  <c r="G246" i="15"/>
  <c r="H66" i="15"/>
  <c r="G66" i="15"/>
  <c r="H787" i="15"/>
  <c r="G787" i="15"/>
  <c r="G400" i="15"/>
  <c r="H400" i="15"/>
  <c r="H409" i="15"/>
  <c r="G409" i="15"/>
  <c r="H231" i="15"/>
  <c r="G231" i="15"/>
  <c r="H51" i="15"/>
  <c r="G51" i="15"/>
  <c r="H766" i="15"/>
  <c r="G766" i="15"/>
  <c r="G756" i="15"/>
  <c r="H756" i="15"/>
  <c r="H577" i="15"/>
  <c r="G577" i="15"/>
  <c r="H200" i="15"/>
  <c r="G200" i="15"/>
  <c r="H20" i="15"/>
  <c r="G20" i="15"/>
  <c r="H555" i="15"/>
  <c r="G555" i="15"/>
  <c r="H374" i="15"/>
  <c r="G374" i="15"/>
  <c r="H598" i="15"/>
  <c r="G598" i="15"/>
  <c r="H223" i="15"/>
  <c r="G223" i="15"/>
  <c r="H43" i="15"/>
  <c r="G43" i="15"/>
  <c r="H750" i="15"/>
  <c r="G750" i="15"/>
  <c r="H819" i="15"/>
  <c r="G819" i="15"/>
  <c r="H154" i="15"/>
  <c r="G154" i="15"/>
  <c r="H311" i="15"/>
  <c r="G311" i="15"/>
  <c r="H500" i="15"/>
  <c r="G500" i="15"/>
  <c r="H279" i="15"/>
  <c r="G279" i="15"/>
  <c r="H514" i="15"/>
  <c r="G514" i="15"/>
  <c r="H858" i="15"/>
  <c r="G858" i="15"/>
  <c r="H843" i="15"/>
  <c r="G843" i="15"/>
  <c r="H595" i="15"/>
  <c r="G595" i="15"/>
  <c r="H48" i="15"/>
  <c r="G48" i="15"/>
  <c r="H25" i="15"/>
  <c r="G25" i="15"/>
  <c r="H779" i="15"/>
  <c r="G779" i="15"/>
  <c r="H103" i="15"/>
  <c r="G103" i="15"/>
  <c r="H305" i="15"/>
  <c r="G305" i="15"/>
  <c r="H867" i="15"/>
  <c r="G867" i="15"/>
  <c r="H847" i="15"/>
  <c r="G847" i="15"/>
  <c r="H192" i="15"/>
  <c r="G192" i="15"/>
  <c r="H310" i="15"/>
  <c r="G310" i="15"/>
  <c r="H499" i="15"/>
  <c r="G499" i="15"/>
  <c r="G852" i="15"/>
  <c r="H852" i="15"/>
  <c r="H62" i="15"/>
  <c r="G62" i="15"/>
  <c r="H227" i="15"/>
  <c r="G227" i="15"/>
  <c r="G752" i="15"/>
  <c r="H752" i="15"/>
  <c r="H378" i="15"/>
  <c r="G378" i="15"/>
  <c r="H28" i="15"/>
  <c r="G28" i="15"/>
  <c r="H330" i="15"/>
  <c r="G330" i="15"/>
  <c r="H674" i="15"/>
  <c r="G674" i="15"/>
  <c r="G684" i="15"/>
  <c r="H684" i="15"/>
  <c r="H136" i="15"/>
  <c r="G136" i="15"/>
  <c r="H247" i="15"/>
  <c r="G247" i="15"/>
  <c r="H589" i="15"/>
  <c r="G589" i="15"/>
  <c r="H226" i="15"/>
  <c r="G226" i="15"/>
  <c r="H397" i="15"/>
  <c r="G397" i="15"/>
  <c r="H195" i="15"/>
  <c r="G195" i="15"/>
  <c r="H15" i="15"/>
  <c r="G15" i="15"/>
  <c r="H418" i="15"/>
  <c r="G418" i="15"/>
  <c r="H403" i="15"/>
  <c r="G403" i="15"/>
  <c r="H210" i="15"/>
  <c r="G210" i="15"/>
  <c r="H30" i="15"/>
  <c r="G30" i="15"/>
  <c r="M25" i="15" a="1"/>
  <c r="M25" i="15" s="1"/>
  <c r="M29" i="15" a="1"/>
  <c r="M29" i="15" s="1"/>
  <c r="G656" i="15"/>
  <c r="H656" i="15"/>
  <c r="H841" i="15"/>
  <c r="G841" i="15"/>
  <c r="H131" i="15"/>
  <c r="G131" i="15"/>
  <c r="H337" i="15"/>
  <c r="G337" i="15"/>
  <c r="H414" i="15"/>
  <c r="G414" i="15"/>
  <c r="H56" i="15"/>
  <c r="G56" i="15"/>
  <c r="H404" i="15"/>
  <c r="G404" i="15"/>
  <c r="H24" i="15"/>
  <c r="G24" i="15"/>
  <c r="G556" i="15"/>
  <c r="H556" i="15"/>
  <c r="H11" i="15"/>
  <c r="G11" i="15"/>
  <c r="G412" i="15"/>
  <c r="H412" i="15"/>
  <c r="H643" i="15"/>
  <c r="G643" i="15"/>
  <c r="H660" i="15"/>
  <c r="G660" i="15"/>
  <c r="H687" i="15"/>
  <c r="G687" i="15"/>
  <c r="H135" i="15"/>
  <c r="G135" i="15"/>
  <c r="H482" i="15"/>
  <c r="G482" i="15"/>
  <c r="H99" i="15"/>
  <c r="G99" i="15"/>
  <c r="G836" i="15"/>
  <c r="H836" i="15"/>
  <c r="H301" i="15"/>
  <c r="G301" i="15"/>
  <c r="H654" i="15"/>
  <c r="G654" i="15"/>
  <c r="H328" i="15"/>
  <c r="G328" i="15"/>
  <c r="G680" i="15"/>
  <c r="H680" i="15"/>
  <c r="H774" i="15"/>
  <c r="G774" i="15"/>
  <c r="H596" i="15"/>
  <c r="G596" i="15"/>
  <c r="H759" i="15"/>
  <c r="G759" i="15"/>
  <c r="H205" i="15"/>
  <c r="G205" i="15"/>
  <c r="H376" i="15"/>
  <c r="G376" i="15"/>
  <c r="G592" i="15"/>
  <c r="H592" i="15"/>
  <c r="H283" i="15"/>
  <c r="G283" i="15"/>
  <c r="H681" i="15"/>
  <c r="G681" i="15"/>
  <c r="H125" i="15"/>
  <c r="G125" i="15"/>
  <c r="H495" i="15"/>
  <c r="G495" i="15"/>
  <c r="H152" i="15"/>
  <c r="G152" i="15"/>
  <c r="H420" i="15"/>
  <c r="G420" i="15"/>
  <c r="H12" i="15"/>
  <c r="G12" i="15"/>
  <c r="H506" i="15"/>
  <c r="G506" i="15"/>
  <c r="H871" i="15"/>
  <c r="G871" i="15"/>
  <c r="H295" i="15"/>
  <c r="G295" i="15"/>
  <c r="G689" i="15"/>
  <c r="H689" i="15"/>
  <c r="H242" i="15"/>
  <c r="G242" i="15"/>
  <c r="G424" i="15"/>
  <c r="H424" i="15"/>
  <c r="H762" i="15"/>
  <c r="G762" i="15"/>
  <c r="H393" i="15"/>
  <c r="G393" i="15"/>
  <c r="H739" i="15"/>
  <c r="G739" i="15"/>
  <c r="H388" i="15"/>
  <c r="G388" i="15"/>
  <c r="H651" i="15"/>
  <c r="G651" i="15"/>
  <c r="H150" i="15"/>
  <c r="G150" i="15"/>
  <c r="H515" i="15"/>
  <c r="G515" i="15"/>
  <c r="H50" i="15"/>
  <c r="G50" i="15"/>
  <c r="H479" i="15"/>
  <c r="G479" i="15"/>
  <c r="H873" i="15"/>
  <c r="G873" i="15"/>
  <c r="H67" i="15"/>
  <c r="G67" i="15"/>
  <c r="H296" i="15"/>
  <c r="G296" i="15"/>
  <c r="H857" i="15"/>
  <c r="G857" i="15"/>
  <c r="H481" i="15"/>
  <c r="G481" i="15"/>
  <c r="H834" i="15"/>
  <c r="G834" i="15"/>
  <c r="G508" i="15"/>
  <c r="H508" i="15"/>
  <c r="H123" i="15"/>
  <c r="G123" i="15"/>
  <c r="H697" i="15"/>
  <c r="G697" i="15"/>
  <c r="H775" i="15"/>
  <c r="G775" i="15"/>
  <c r="G588" i="15"/>
  <c r="H588" i="15"/>
  <c r="H39" i="15"/>
  <c r="G39" i="15"/>
  <c r="G384" i="15"/>
  <c r="H384" i="15"/>
  <c r="H26" i="15"/>
  <c r="G26" i="15"/>
  <c r="H551" i="15"/>
  <c r="G551" i="15"/>
  <c r="H59" i="15"/>
  <c r="G59" i="15"/>
  <c r="H463" i="15"/>
  <c r="G463" i="15"/>
  <c r="H120" i="15"/>
  <c r="G120" i="15"/>
  <c r="H485" i="15"/>
  <c r="G485" i="15"/>
  <c r="H147" i="15"/>
  <c r="G147" i="15"/>
  <c r="H675" i="15"/>
  <c r="G675" i="15"/>
  <c r="H127" i="15"/>
  <c r="G127" i="15"/>
  <c r="G600" i="15"/>
  <c r="H600" i="15"/>
  <c r="H287" i="15"/>
  <c r="G287" i="15"/>
  <c r="H686" i="15"/>
  <c r="G686" i="15"/>
  <c r="H331" i="15"/>
  <c r="G331" i="15"/>
  <c r="H842" i="15"/>
  <c r="G842" i="15"/>
  <c r="H475" i="15"/>
  <c r="G475" i="15"/>
  <c r="H132" i="15"/>
  <c r="G132" i="15"/>
  <c r="H602" i="15"/>
  <c r="G602" i="15"/>
  <c r="H63" i="15"/>
  <c r="G63" i="15"/>
  <c r="H585" i="15"/>
  <c r="G585" i="15"/>
  <c r="H402" i="15"/>
  <c r="G402" i="15"/>
  <c r="G392" i="15"/>
  <c r="H392" i="15"/>
  <c r="H379" i="15"/>
  <c r="G379" i="15"/>
  <c r="H738" i="15"/>
  <c r="G738" i="15"/>
  <c r="H202" i="15"/>
  <c r="G202" i="15"/>
  <c r="H831" i="15"/>
  <c r="G831" i="15"/>
  <c r="H510" i="15"/>
  <c r="G510" i="15"/>
  <c r="H854" i="15"/>
  <c r="G854" i="15"/>
  <c r="H590" i="15"/>
  <c r="G590" i="15"/>
  <c r="H126" i="15"/>
  <c r="G126" i="15"/>
  <c r="G496" i="15"/>
  <c r="H496" i="15"/>
  <c r="H153" i="15"/>
  <c r="G153" i="15"/>
  <c r="H426" i="15"/>
  <c r="G426" i="15"/>
  <c r="H40" i="15"/>
  <c r="G40" i="15"/>
  <c r="H591" i="15"/>
  <c r="G591" i="15"/>
  <c r="H216" i="15"/>
  <c r="G216" i="15"/>
  <c r="G560" i="15"/>
  <c r="H560" i="15"/>
  <c r="H778" i="15"/>
  <c r="G778" i="15"/>
  <c r="H334" i="15"/>
  <c r="G334" i="15"/>
  <c r="G678" i="15"/>
  <c r="H678" i="15"/>
  <c r="G868" i="15"/>
  <c r="H868" i="15"/>
  <c r="H157" i="15"/>
  <c r="G157" i="15"/>
  <c r="H236" i="15"/>
  <c r="G236" i="15"/>
  <c r="G768" i="15"/>
  <c r="H768" i="15"/>
  <c r="H204" i="15"/>
  <c r="G204" i="15"/>
  <c r="G566" i="15"/>
  <c r="H566" i="15"/>
  <c r="H599" i="15"/>
  <c r="G599" i="15"/>
  <c r="H209" i="15"/>
  <c r="G209" i="15"/>
  <c r="H501" i="15"/>
  <c r="G501" i="15"/>
  <c r="H478" i="15"/>
  <c r="G478" i="15"/>
  <c r="H691" i="15"/>
  <c r="G691" i="15"/>
  <c r="H677" i="15"/>
  <c r="G677" i="15"/>
  <c r="H121" i="15"/>
  <c r="G121" i="15"/>
  <c r="H491" i="15"/>
  <c r="G491" i="15"/>
  <c r="H148" i="15"/>
  <c r="G148" i="15"/>
  <c r="H517" i="15"/>
  <c r="G517" i="15"/>
  <c r="H228" i="15"/>
  <c r="G228" i="15"/>
  <c r="G584" i="15"/>
  <c r="H584" i="15"/>
  <c r="H564" i="15"/>
  <c r="G564" i="15"/>
  <c r="H746" i="15"/>
  <c r="G746" i="15"/>
  <c r="H371" i="15"/>
  <c r="G371" i="15"/>
  <c r="H389" i="15"/>
  <c r="G389" i="15"/>
  <c r="G840" i="15"/>
  <c r="H840" i="15"/>
  <c r="G658" i="15"/>
  <c r="H658" i="15"/>
  <c r="H332" i="15"/>
  <c r="G332" i="15"/>
  <c r="H685" i="15"/>
  <c r="G685" i="15"/>
  <c r="H827" i="15"/>
  <c r="G827" i="15"/>
  <c r="G669" i="15"/>
  <c r="H669" i="15"/>
  <c r="H130" i="15"/>
  <c r="G130" i="15"/>
  <c r="G662" i="15"/>
  <c r="H662" i="15"/>
  <c r="H115" i="15"/>
  <c r="G115" i="15"/>
  <c r="H417" i="15"/>
  <c r="G417" i="15"/>
  <c r="H783" i="15"/>
  <c r="G783" i="15"/>
  <c r="H405" i="15"/>
  <c r="G405" i="15"/>
  <c r="H47" i="15"/>
  <c r="G47" i="15"/>
  <c r="H190" i="15"/>
  <c r="G190" i="15"/>
  <c r="H10" i="15"/>
  <c r="G10" i="15"/>
  <c r="H401" i="15"/>
  <c r="G401" i="15"/>
  <c r="H22" i="15"/>
  <c r="G22" i="15"/>
  <c r="H493" i="15"/>
  <c r="G493" i="15"/>
  <c r="H837" i="15"/>
  <c r="G837" i="15"/>
  <c r="H230" i="15"/>
  <c r="G230" i="15"/>
  <c r="H846" i="15"/>
  <c r="G846" i="15"/>
  <c r="H316" i="15"/>
  <c r="G316" i="15"/>
  <c r="H605" i="15"/>
  <c r="G605" i="15"/>
  <c r="H606" i="15"/>
  <c r="G606" i="15"/>
  <c r="G760" i="15"/>
  <c r="H760" i="15"/>
  <c r="H411" i="15"/>
  <c r="G411" i="15"/>
  <c r="H46" i="15"/>
  <c r="G46" i="15"/>
  <c r="G576" i="15"/>
  <c r="H576" i="15"/>
  <c r="H380" i="15"/>
  <c r="G380" i="15"/>
  <c r="H734" i="15"/>
  <c r="G734" i="15"/>
  <c r="H459" i="15"/>
  <c r="G459" i="15"/>
  <c r="H116" i="15"/>
  <c r="G116" i="15"/>
  <c r="G694" i="15"/>
  <c r="H694" i="15"/>
  <c r="H498" i="15"/>
  <c r="G498" i="15"/>
  <c r="H138" i="15"/>
  <c r="G138" i="15"/>
  <c r="H671" i="15"/>
  <c r="G671" i="15"/>
  <c r="H303" i="15"/>
  <c r="G303" i="15"/>
  <c r="G860" i="15"/>
  <c r="H860" i="15"/>
  <c r="H234" i="15"/>
  <c r="G234" i="15"/>
  <c r="H54" i="15"/>
  <c r="G54" i="15"/>
  <c r="G416" i="15"/>
  <c r="H416" i="15"/>
  <c r="H219" i="15"/>
  <c r="G219" i="15"/>
  <c r="G764" i="15"/>
  <c r="H764" i="15"/>
  <c r="H385" i="15"/>
  <c r="G385" i="15"/>
  <c r="H206" i="15"/>
  <c r="G206" i="15"/>
  <c r="G736" i="15"/>
  <c r="H736" i="15"/>
  <c r="H239" i="15"/>
  <c r="G239" i="15"/>
  <c r="G772" i="15"/>
  <c r="H772" i="15"/>
  <c r="H569" i="15"/>
  <c r="G569" i="15"/>
  <c r="H300" i="15"/>
  <c r="G300" i="15"/>
  <c r="H861" i="15"/>
  <c r="G861" i="15"/>
  <c r="H327" i="15"/>
  <c r="G327" i="15"/>
  <c r="H118" i="15"/>
  <c r="G118" i="15"/>
  <c r="G512" i="15"/>
  <c r="H512" i="15"/>
  <c r="H307" i="15"/>
  <c r="G307" i="15"/>
  <c r="G865" i="15"/>
  <c r="H865" i="15"/>
  <c r="G732" i="15"/>
  <c r="H732" i="15"/>
  <c r="H107" i="15"/>
  <c r="G107" i="15"/>
  <c r="G849" i="15"/>
  <c r="H849" i="15"/>
  <c r="H490" i="15"/>
  <c r="G490" i="15"/>
  <c r="H151" i="15"/>
  <c r="G151" i="15"/>
  <c r="H679" i="15"/>
  <c r="G679" i="15"/>
  <c r="H312" i="15"/>
  <c r="G312" i="15"/>
  <c r="H869" i="15"/>
  <c r="G869" i="15"/>
  <c r="H597" i="15"/>
  <c r="G597" i="15"/>
  <c r="H243" i="15"/>
  <c r="G243" i="15"/>
  <c r="G784" i="15"/>
  <c r="H784" i="15"/>
  <c r="H407" i="15"/>
  <c r="G407" i="15"/>
  <c r="H42" i="15"/>
  <c r="G42" i="15"/>
  <c r="H573" i="15"/>
  <c r="G573" i="15"/>
  <c r="H370" i="15"/>
  <c r="G370" i="15"/>
  <c r="H19" i="15"/>
  <c r="G19" i="15"/>
  <c r="H581" i="15"/>
  <c r="G581" i="15"/>
  <c r="H208" i="15"/>
  <c r="G208" i="15"/>
  <c r="G742" i="15"/>
  <c r="H742" i="15"/>
  <c r="G673" i="15"/>
  <c r="H673" i="15"/>
  <c r="H297" i="15"/>
  <c r="G297" i="15"/>
  <c r="H117" i="15"/>
  <c r="G117" i="15"/>
  <c r="H695" i="15"/>
  <c r="G695" i="15"/>
  <c r="H306" i="15"/>
  <c r="G306" i="15"/>
  <c r="G864" i="15"/>
  <c r="H864" i="15"/>
  <c r="H659" i="15"/>
  <c r="G659" i="15"/>
  <c r="H513" i="15"/>
  <c r="G513" i="15"/>
  <c r="G785" i="15"/>
  <c r="H785" i="15"/>
  <c r="H427" i="15"/>
  <c r="G427" i="15"/>
  <c r="H220" i="15"/>
  <c r="G220" i="15"/>
  <c r="G769" i="15"/>
  <c r="H769" i="15"/>
  <c r="H586" i="15"/>
  <c r="G586" i="15"/>
  <c r="H36" i="15"/>
  <c r="G36" i="15"/>
  <c r="H757" i="15"/>
  <c r="G757" i="15"/>
  <c r="H735" i="15"/>
  <c r="G735" i="15"/>
  <c r="H194" i="15"/>
  <c r="G194" i="15"/>
  <c r="H14" i="15"/>
  <c r="G14" i="15"/>
  <c r="H583" i="15"/>
  <c r="G583" i="15"/>
  <c r="H570" i="15"/>
  <c r="G570" i="15"/>
  <c r="H639" i="15"/>
  <c r="G639" i="15"/>
  <c r="G476" i="15"/>
  <c r="H476" i="15"/>
  <c r="H317" i="15"/>
  <c r="G317" i="15"/>
  <c r="H137" i="15"/>
  <c r="G137" i="15"/>
  <c r="H874" i="15"/>
  <c r="G874" i="15"/>
  <c r="H661" i="15"/>
  <c r="G661" i="15"/>
  <c r="H318" i="15"/>
  <c r="G318" i="15"/>
  <c r="H294" i="15"/>
  <c r="G294" i="15"/>
  <c r="H114" i="15"/>
  <c r="G114" i="15"/>
  <c r="H851" i="15"/>
  <c r="G851" i="15"/>
  <c r="G688" i="15"/>
  <c r="H688" i="15"/>
  <c r="H483" i="15"/>
  <c r="G483" i="15"/>
  <c r="H320" i="15"/>
  <c r="G320" i="15"/>
  <c r="H140" i="15"/>
  <c r="G140" i="15"/>
  <c r="H877" i="15"/>
  <c r="G877" i="15"/>
  <c r="H594" i="15"/>
  <c r="G594" i="15"/>
  <c r="H235" i="15"/>
  <c r="G235" i="15"/>
  <c r="H55" i="15"/>
  <c r="G55" i="15"/>
  <c r="G776" i="15"/>
  <c r="H776" i="15"/>
  <c r="G408" i="15"/>
  <c r="H408" i="15"/>
  <c r="H399" i="15"/>
  <c r="G399" i="15"/>
  <c r="H224" i="15"/>
  <c r="G224" i="15"/>
  <c r="H44" i="15"/>
  <c r="G44" i="15"/>
  <c r="G744" i="15"/>
  <c r="H744" i="15"/>
  <c r="H565" i="15"/>
  <c r="G565" i="15"/>
  <c r="H386" i="15"/>
  <c r="G386" i="15"/>
  <c r="H196" i="15"/>
  <c r="G196" i="15"/>
  <c r="H16" i="15"/>
  <c r="G16" i="15"/>
  <c r="H731" i="15"/>
  <c r="G731" i="15"/>
  <c r="H419" i="15"/>
  <c r="G419" i="15"/>
  <c r="H232" i="15"/>
  <c r="G232" i="15"/>
  <c r="H52" i="15"/>
  <c r="G52" i="15"/>
  <c r="H749" i="15"/>
  <c r="G749" i="15"/>
  <c r="H823" i="15"/>
  <c r="G823" i="15"/>
  <c r="G480" i="15"/>
  <c r="H480" i="15"/>
  <c r="H321" i="15"/>
  <c r="G321" i="15"/>
  <c r="H141" i="15"/>
  <c r="G141" i="15"/>
  <c r="H665" i="15"/>
  <c r="G665" i="15"/>
  <c r="H507" i="15"/>
  <c r="G507" i="15"/>
  <c r="H298" i="15"/>
  <c r="G298" i="15"/>
  <c r="H838" i="15"/>
  <c r="G838" i="15"/>
  <c r="H855" i="15"/>
  <c r="G855" i="15"/>
  <c r="H692" i="15"/>
  <c r="G692" i="15"/>
  <c r="H487" i="15"/>
  <c r="G487" i="15"/>
  <c r="H505" i="15"/>
  <c r="G505" i="15"/>
  <c r="H145" i="15"/>
  <c r="G145" i="15"/>
  <c r="G780" i="15"/>
  <c r="H780" i="15"/>
  <c r="H372" i="15"/>
  <c r="G372" i="15"/>
  <c r="H467" i="15"/>
  <c r="G467" i="15"/>
  <c r="H309" i="15"/>
  <c r="G309" i="15"/>
  <c r="H129" i="15"/>
  <c r="G129" i="15"/>
  <c r="H866" i="15"/>
  <c r="G866" i="15"/>
  <c r="H670" i="15"/>
  <c r="G670" i="15"/>
  <c r="H511" i="15"/>
  <c r="G511" i="15"/>
  <c r="H302" i="15"/>
  <c r="G302" i="15"/>
  <c r="H122" i="15"/>
  <c r="G122" i="15"/>
  <c r="H859" i="15"/>
  <c r="G859" i="15"/>
  <c r="H655" i="15"/>
  <c r="G655" i="15"/>
  <c r="G492" i="15"/>
  <c r="H492" i="15"/>
  <c r="H509" i="15"/>
  <c r="G509" i="15"/>
  <c r="H149" i="15"/>
  <c r="G149" i="15"/>
  <c r="H777" i="15"/>
  <c r="G777" i="15"/>
  <c r="H422" i="15"/>
  <c r="G422" i="15"/>
  <c r="H423" i="15"/>
  <c r="G423" i="15"/>
  <c r="H244" i="15"/>
  <c r="G244" i="15"/>
  <c r="H64" i="15"/>
  <c r="G64" i="15"/>
  <c r="H765" i="15"/>
  <c r="G765" i="15"/>
  <c r="H587" i="15"/>
  <c r="G587" i="15"/>
  <c r="H222" i="15"/>
  <c r="G222" i="15"/>
  <c r="H212" i="15"/>
  <c r="G212" i="15"/>
  <c r="H32" i="15"/>
  <c r="G32" i="15"/>
  <c r="G753" i="15"/>
  <c r="H753" i="15"/>
  <c r="G550" i="15"/>
  <c r="H550" i="15"/>
  <c r="H199" i="15"/>
  <c r="G199" i="15"/>
  <c r="H198" i="15"/>
  <c r="G198" i="15"/>
  <c r="H18" i="15"/>
  <c r="G18" i="15"/>
  <c r="H761" i="15"/>
  <c r="G761" i="15"/>
  <c r="G568" i="15"/>
  <c r="H568" i="15"/>
  <c r="H382" i="15"/>
  <c r="G382" i="15"/>
  <c r="H291" i="15"/>
  <c r="G291" i="15"/>
  <c r="H111" i="15"/>
  <c r="G111" i="15"/>
  <c r="H853" i="15"/>
  <c r="G853" i="15"/>
  <c r="G690" i="15"/>
  <c r="H690" i="15"/>
  <c r="H477" i="15"/>
  <c r="G477" i="15"/>
  <c r="H494" i="15"/>
  <c r="G494" i="15"/>
  <c r="H134" i="15"/>
  <c r="G134" i="15"/>
  <c r="H875" i="15"/>
  <c r="G875" i="15"/>
  <c r="H410" i="15"/>
  <c r="G410" i="15"/>
  <c r="H486" i="15"/>
  <c r="G486" i="15"/>
  <c r="H324" i="15"/>
  <c r="G324" i="15"/>
  <c r="H144" i="15"/>
  <c r="G144" i="15"/>
  <c r="H839" i="15"/>
  <c r="G839" i="15"/>
  <c r="H676" i="15"/>
  <c r="G676" i="15"/>
  <c r="H333" i="15"/>
  <c r="G333" i="15"/>
  <c r="H245" i="15"/>
  <c r="G245" i="15"/>
  <c r="H65" i="15"/>
  <c r="G65" i="15"/>
  <c r="H786" i="15"/>
  <c r="G786" i="15"/>
  <c r="H607" i="15"/>
  <c r="G607" i="15"/>
  <c r="H580" i="15"/>
  <c r="G580" i="15"/>
  <c r="H229" i="15"/>
  <c r="G229" i="15"/>
  <c r="H49" i="15"/>
  <c r="G49" i="15"/>
  <c r="H771" i="15"/>
  <c r="G771" i="15"/>
  <c r="H406" i="15"/>
  <c r="G406" i="15"/>
  <c r="G396" i="15"/>
  <c r="H396" i="15"/>
  <c r="H217" i="15"/>
  <c r="G217" i="15"/>
  <c r="H37" i="15"/>
  <c r="G37" i="15"/>
  <c r="H740" i="15"/>
  <c r="G740" i="15"/>
  <c r="H375" i="15"/>
  <c r="G375" i="15"/>
  <c r="H554" i="15"/>
  <c r="G554" i="15"/>
  <c r="H238" i="15"/>
  <c r="G238" i="15"/>
  <c r="H58" i="15"/>
  <c r="G58" i="15"/>
  <c r="H763" i="15"/>
  <c r="G763" i="15"/>
  <c r="H390" i="15"/>
  <c r="G390" i="15"/>
  <c r="M17" i="15" a="1"/>
  <c r="M17" i="15" s="1"/>
  <c r="M24" i="15" a="1"/>
  <c r="M24" i="15" s="1"/>
  <c r="Q50" i="15"/>
  <c r="G34" i="8"/>
  <c r="J33" i="4" s="1"/>
  <c r="G38" i="6"/>
  <c r="J172" i="4" s="1"/>
  <c r="G36" i="5"/>
  <c r="J125" i="4" s="1"/>
  <c r="G174" i="4"/>
  <c r="F131" i="4"/>
  <c r="G10" i="6"/>
  <c r="J144" i="4" s="1"/>
  <c r="V29" i="15"/>
  <c r="W29" i="15"/>
  <c r="W30" i="15"/>
  <c r="V30" i="15"/>
  <c r="V28" i="15"/>
  <c r="W28" i="15"/>
  <c r="H259" i="4"/>
  <c r="W23" i="15"/>
  <c r="G20" i="6"/>
  <c r="J154" i="4" s="1"/>
  <c r="G22" i="5"/>
  <c r="J111" i="4" s="1"/>
  <c r="G18" i="8"/>
  <c r="J17" i="4" s="1"/>
  <c r="F239" i="4"/>
  <c r="F30" i="6"/>
  <c r="G30" i="7"/>
  <c r="J209" i="4" s="1"/>
  <c r="G37" i="8"/>
  <c r="J36" i="4" s="1"/>
  <c r="F30" i="8"/>
  <c r="G30" i="8" s="1"/>
  <c r="J29" i="4" s="1"/>
  <c r="F38" i="5"/>
  <c r="F54" i="5"/>
  <c r="G54" i="5" s="1"/>
  <c r="J263" i="4" s="1"/>
  <c r="F38" i="8"/>
  <c r="G38" i="8" s="1"/>
  <c r="J37" i="4" s="1"/>
  <c r="F38" i="7"/>
  <c r="G38" i="7" s="1"/>
  <c r="J217" i="4" s="1"/>
  <c r="G33" i="2"/>
  <c r="J77" i="4" s="1"/>
  <c r="G267" i="4"/>
  <c r="G65" i="4"/>
  <c r="G18" i="5"/>
  <c r="J107" i="4" s="1"/>
  <c r="G22" i="6"/>
  <c r="J156" i="4" s="1"/>
  <c r="G31" i="8"/>
  <c r="J30" i="4" s="1"/>
  <c r="G35" i="2"/>
  <c r="J79" i="4" s="1"/>
  <c r="F135" i="4"/>
  <c r="G280" i="4"/>
  <c r="G14" i="5"/>
  <c r="J103" i="4" s="1"/>
  <c r="G22" i="2"/>
  <c r="J66" i="4" s="1"/>
  <c r="G25" i="6"/>
  <c r="J159" i="4" s="1"/>
  <c r="G16" i="8"/>
  <c r="J15" i="4" s="1"/>
  <c r="G37" i="6"/>
  <c r="J171" i="4" s="1"/>
  <c r="G20" i="8"/>
  <c r="J19" i="4" s="1"/>
  <c r="G18" i="6"/>
  <c r="J152" i="4" s="1"/>
  <c r="G31" i="2"/>
  <c r="J75" i="4" s="1"/>
  <c r="G35" i="6"/>
  <c r="J169" i="4" s="1"/>
  <c r="G25" i="8"/>
  <c r="J24" i="4" s="1"/>
  <c r="G25" i="7"/>
  <c r="J204" i="4" s="1"/>
  <c r="G11" i="8"/>
  <c r="J10" i="4" s="1"/>
  <c r="G21" i="8"/>
  <c r="J20" i="4" s="1"/>
  <c r="G12" i="5"/>
  <c r="J101" i="4" s="1"/>
  <c r="G22" i="7"/>
  <c r="J201" i="4" s="1"/>
  <c r="G13" i="2"/>
  <c r="J57" i="4" s="1"/>
  <c r="G17" i="6"/>
  <c r="J151" i="4" s="1"/>
  <c r="G33" i="8"/>
  <c r="J32" i="4" s="1"/>
  <c r="G23" i="2"/>
  <c r="J67" i="4" s="1"/>
  <c r="G27" i="8"/>
  <c r="J26" i="4" s="1"/>
  <c r="G30" i="6"/>
  <c r="J164" i="4" s="1"/>
  <c r="G59" i="1"/>
  <c r="G11" i="6"/>
  <c r="J145" i="4" s="1"/>
  <c r="G15" i="5"/>
  <c r="J104" i="4" s="1"/>
  <c r="G9" i="2"/>
  <c r="J53" i="4" s="1"/>
  <c r="D65" i="6"/>
  <c r="C289" i="4" s="1"/>
  <c r="G66" i="1"/>
  <c r="G21" i="5"/>
  <c r="J110" i="4" s="1"/>
  <c r="G21" i="7"/>
  <c r="J200" i="4" s="1"/>
  <c r="G12" i="8"/>
  <c r="J11" i="4" s="1"/>
  <c r="D64" i="6"/>
  <c r="C288" i="4" s="1"/>
  <c r="G13" i="7"/>
  <c r="J192" i="4" s="1"/>
  <c r="G17" i="5"/>
  <c r="J106" i="4" s="1"/>
  <c r="F32" i="6"/>
  <c r="G32" i="6" s="1"/>
  <c r="J166" i="4" s="1"/>
  <c r="F32" i="7"/>
  <c r="G32" i="7" s="1"/>
  <c r="J211" i="4" s="1"/>
  <c r="F32" i="5"/>
  <c r="F32" i="2"/>
  <c r="G32" i="2" s="1"/>
  <c r="J76" i="4" s="1"/>
  <c r="F32" i="8"/>
  <c r="G32" i="8" s="1"/>
  <c r="J31" i="4" s="1"/>
  <c r="G65" i="1"/>
  <c r="G27" i="6"/>
  <c r="J161" i="4" s="1"/>
  <c r="G18" i="7"/>
  <c r="J197" i="4" s="1"/>
  <c r="D62" i="6"/>
  <c r="C286" i="4" s="1"/>
  <c r="G30" i="5"/>
  <c r="J119" i="4" s="1"/>
  <c r="G26" i="6"/>
  <c r="J160" i="4" s="1"/>
  <c r="G68" i="1"/>
  <c r="D57" i="6"/>
  <c r="C281" i="4" s="1"/>
  <c r="F43" i="7"/>
  <c r="G43" i="7" s="1"/>
  <c r="J222" i="4" s="1"/>
  <c r="F43" i="5"/>
  <c r="G43" i="5" s="1"/>
  <c r="J132" i="4" s="1"/>
  <c r="F43" i="2"/>
  <c r="G43" i="2" s="1"/>
  <c r="J87" i="4" s="1"/>
  <c r="F43" i="6"/>
  <c r="G43" i="6" s="1"/>
  <c r="J177" i="4" s="1"/>
  <c r="F43" i="8"/>
  <c r="G43" i="8" s="1"/>
  <c r="J42" i="4" s="1"/>
  <c r="G32" i="5"/>
  <c r="J121" i="4" s="1"/>
  <c r="G13" i="6"/>
  <c r="J147" i="4" s="1"/>
  <c r="D56" i="6"/>
  <c r="C280" i="4" s="1"/>
  <c r="G58" i="1"/>
  <c r="G67" i="1"/>
  <c r="G33" i="5"/>
  <c r="J122" i="4" s="1"/>
  <c r="G37" i="7"/>
  <c r="J216" i="4" s="1"/>
  <c r="G19" i="5"/>
  <c r="J108" i="4" s="1"/>
  <c r="D58" i="6"/>
  <c r="C282" i="4" s="1"/>
  <c r="F53" i="7"/>
  <c r="F53" i="6"/>
  <c r="G53" i="6" s="1"/>
  <c r="J187" i="4" s="1"/>
  <c r="F53" i="5"/>
  <c r="G53" i="5" s="1"/>
  <c r="J142" i="4" s="1"/>
  <c r="F53" i="8"/>
  <c r="G53" i="8" s="1"/>
  <c r="J52" i="4" s="1"/>
  <c r="F53" i="2"/>
  <c r="G53" i="2" s="1"/>
  <c r="J97" i="4" s="1"/>
  <c r="F62" i="7"/>
  <c r="G62" i="7" s="1"/>
  <c r="J301" i="4" s="1"/>
  <c r="F62" i="6"/>
  <c r="G62" i="6" s="1"/>
  <c r="J286" i="4" s="1"/>
  <c r="F62" i="8"/>
  <c r="G62" i="8" s="1"/>
  <c r="J241" i="4" s="1"/>
  <c r="F62" i="5"/>
  <c r="G62" i="5" s="1"/>
  <c r="J271" i="4" s="1"/>
  <c r="F62" i="2"/>
  <c r="G62" i="2" s="1"/>
  <c r="J256" i="4" s="1"/>
  <c r="G11" i="7"/>
  <c r="J190" i="4" s="1"/>
  <c r="G20" i="5"/>
  <c r="J109" i="4" s="1"/>
  <c r="G11" i="2"/>
  <c r="J55" i="4" s="1"/>
  <c r="G15" i="8"/>
  <c r="J14" i="4" s="1"/>
  <c r="G15" i="6"/>
  <c r="J149" i="4" s="1"/>
  <c r="G9" i="6"/>
  <c r="J143" i="4" s="1"/>
  <c r="G35" i="8"/>
  <c r="J34" i="4" s="1"/>
  <c r="G29" i="8"/>
  <c r="J28" i="4" s="1"/>
  <c r="G12" i="7"/>
  <c r="J191" i="4" s="1"/>
  <c r="G17" i="7"/>
  <c r="J196" i="4" s="1"/>
  <c r="G61" i="1"/>
  <c r="G69" i="1"/>
  <c r="G31" i="7"/>
  <c r="J210" i="4" s="1"/>
  <c r="G19" i="6"/>
  <c r="J153" i="4" s="1"/>
  <c r="G23" i="5"/>
  <c r="J112" i="4" s="1"/>
  <c r="G27" i="2"/>
  <c r="J71" i="4" s="1"/>
  <c r="G10" i="7"/>
  <c r="J189" i="4" s="1"/>
  <c r="F54" i="7"/>
  <c r="G54" i="7" s="1"/>
  <c r="J293" i="4" s="1"/>
  <c r="F54" i="6"/>
  <c r="G54" i="6" s="1"/>
  <c r="J278" i="4" s="1"/>
  <c r="F54" i="2"/>
  <c r="G54" i="2" s="1"/>
  <c r="J248" i="4" s="1"/>
  <c r="F54" i="8"/>
  <c r="G54" i="8" s="1"/>
  <c r="J233" i="4" s="1"/>
  <c r="F47" i="6"/>
  <c r="G47" i="6" s="1"/>
  <c r="J181" i="4" s="1"/>
  <c r="F47" i="7"/>
  <c r="G47" i="7" s="1"/>
  <c r="J226" i="4" s="1"/>
  <c r="F47" i="5"/>
  <c r="G47" i="5" s="1"/>
  <c r="J136" i="4" s="1"/>
  <c r="F47" i="8"/>
  <c r="G47" i="8" s="1"/>
  <c r="J46" i="4" s="1"/>
  <c r="F47" i="2"/>
  <c r="G47" i="2" s="1"/>
  <c r="J91" i="4" s="1"/>
  <c r="G38" i="5"/>
  <c r="J127" i="4" s="1"/>
  <c r="G191" i="4"/>
  <c r="G15" i="7"/>
  <c r="J194" i="4" s="1"/>
  <c r="F58" i="7"/>
  <c r="G58" i="7" s="1"/>
  <c r="J297" i="4" s="1"/>
  <c r="F58" i="6"/>
  <c r="G58" i="6" s="1"/>
  <c r="J282" i="4" s="1"/>
  <c r="F58" i="2"/>
  <c r="G58" i="2" s="1"/>
  <c r="J252" i="4" s="1"/>
  <c r="F58" i="5"/>
  <c r="G58" i="5" s="1"/>
  <c r="J267" i="4" s="1"/>
  <c r="F58" i="8"/>
  <c r="G58" i="8" s="1"/>
  <c r="J237" i="4" s="1"/>
  <c r="G53" i="7"/>
  <c r="J232" i="4" s="1"/>
  <c r="G38" i="2"/>
  <c r="J82" i="4" s="1"/>
  <c r="G28" i="6"/>
  <c r="J162" i="4" s="1"/>
  <c r="G11" i="5"/>
  <c r="J100" i="4" s="1"/>
  <c r="G15" i="2"/>
  <c r="J59" i="4" s="1"/>
  <c r="G9" i="8"/>
  <c r="J8" i="4" s="1"/>
  <c r="G9" i="7"/>
  <c r="J188" i="4" s="1"/>
  <c r="G57" i="1"/>
  <c r="G21" i="6"/>
  <c r="J155" i="4" s="1"/>
  <c r="G25" i="5"/>
  <c r="J114" i="4" s="1"/>
  <c r="G12" i="2"/>
  <c r="J56" i="4" s="1"/>
  <c r="G12" i="6"/>
  <c r="J146" i="4" s="1"/>
  <c r="G16" i="6"/>
  <c r="J150" i="4" s="1"/>
  <c r="D68" i="6"/>
  <c r="C292" i="4" s="1"/>
  <c r="G26" i="7"/>
  <c r="J205" i="4" s="1"/>
  <c r="G13" i="5"/>
  <c r="J102" i="4" s="1"/>
  <c r="G17" i="2"/>
  <c r="J61" i="4" s="1"/>
  <c r="F24" i="7"/>
  <c r="G24" i="7" s="1"/>
  <c r="J203" i="4" s="1"/>
  <c r="F24" i="6"/>
  <c r="G24" i="6" s="1"/>
  <c r="J158" i="4" s="1"/>
  <c r="F24" i="2"/>
  <c r="G24" i="2" s="1"/>
  <c r="J68" i="4" s="1"/>
  <c r="F24" i="8"/>
  <c r="G24" i="8" s="1"/>
  <c r="J23" i="4" s="1"/>
  <c r="F24" i="5"/>
  <c r="G24" i="5" s="1"/>
  <c r="J113" i="4" s="1"/>
  <c r="G63" i="1"/>
  <c r="G27" i="7"/>
  <c r="J206" i="4" s="1"/>
  <c r="G33" i="7"/>
  <c r="J212" i="4" s="1"/>
  <c r="G37" i="5"/>
  <c r="J126" i="4" s="1"/>
  <c r="G19" i="8"/>
  <c r="J18" i="4" s="1"/>
  <c r="G23" i="6"/>
  <c r="J157" i="4" s="1"/>
  <c r="G27" i="5"/>
  <c r="J116" i="4" s="1"/>
  <c r="G14" i="7"/>
  <c r="J193" i="4" s="1"/>
  <c r="D66" i="6"/>
  <c r="C290" i="4" s="1"/>
  <c r="F39" i="7"/>
  <c r="G39" i="7" s="1"/>
  <c r="J218" i="4" s="1"/>
  <c r="F39" i="6"/>
  <c r="G39" i="6" s="1"/>
  <c r="J173" i="4" s="1"/>
  <c r="F39" i="5"/>
  <c r="G39" i="5" s="1"/>
  <c r="J128" i="4" s="1"/>
  <c r="F39" i="2"/>
  <c r="G39" i="2" s="1"/>
  <c r="J83" i="4" s="1"/>
  <c r="F39" i="8"/>
  <c r="G39" i="8" s="1"/>
  <c r="J38" i="4" s="1"/>
  <c r="G30" i="2"/>
  <c r="J74" i="4" s="1"/>
  <c r="G26" i="5"/>
  <c r="J115" i="4" s="1"/>
  <c r="G28" i="8"/>
  <c r="J27" i="4" s="1"/>
  <c r="G34" i="5"/>
  <c r="J123" i="4" s="1"/>
  <c r="G36" i="8"/>
  <c r="J35" i="4" s="1"/>
  <c r="G266" i="4"/>
  <c r="G50" i="4"/>
  <c r="G125" i="4"/>
  <c r="G121" i="4"/>
  <c r="H82" i="4"/>
  <c r="G307" i="4"/>
  <c r="G162" i="4"/>
  <c r="F114" i="4"/>
  <c r="H89" i="4"/>
  <c r="G144" i="4"/>
  <c r="F80" i="4"/>
  <c r="G235" i="4"/>
  <c r="G213" i="4"/>
  <c r="F275" i="4"/>
  <c r="F41" i="4"/>
  <c r="H75" i="4"/>
  <c r="F210" i="4"/>
  <c r="G165" i="4"/>
  <c r="F29" i="4"/>
  <c r="F299" i="4"/>
  <c r="G240" i="4"/>
  <c r="F85" i="4"/>
  <c r="G176" i="4"/>
  <c r="G89" i="4"/>
  <c r="G132" i="4"/>
  <c r="F77" i="4"/>
  <c r="H84" i="4"/>
  <c r="G142" i="4"/>
  <c r="F112" i="4"/>
  <c r="F57" i="4"/>
  <c r="G153" i="4"/>
  <c r="H85" i="4"/>
  <c r="H78" i="4"/>
  <c r="H76" i="4"/>
  <c r="F139" i="4"/>
  <c r="F39" i="4"/>
  <c r="F91" i="4"/>
  <c r="G136" i="4"/>
  <c r="F95" i="4"/>
  <c r="H65" i="4"/>
  <c r="H66" i="4"/>
  <c r="H59" i="4"/>
  <c r="H91" i="4"/>
  <c r="H68" i="4"/>
  <c r="H55" i="4"/>
  <c r="G44" i="4"/>
  <c r="G72" i="4"/>
  <c r="F194" i="4"/>
  <c r="F157" i="4"/>
  <c r="G253" i="4"/>
  <c r="H63" i="4"/>
  <c r="F260" i="4"/>
  <c r="G251" i="4"/>
  <c r="G99" i="4"/>
  <c r="F223" i="4"/>
  <c r="F271" i="4"/>
  <c r="G247" i="4"/>
  <c r="H53" i="4"/>
  <c r="H58" i="4"/>
  <c r="H79" i="4"/>
  <c r="H54" i="4"/>
  <c r="G296" i="4"/>
  <c r="G151" i="4"/>
  <c r="F156" i="4"/>
  <c r="G163" i="4"/>
  <c r="G195" i="4"/>
  <c r="F150" i="4"/>
  <c r="F49" i="4"/>
  <c r="G283" i="4"/>
  <c r="H77" i="4"/>
  <c r="H62" i="4"/>
  <c r="H90" i="4"/>
  <c r="H73" i="4"/>
  <c r="H95" i="4"/>
  <c r="H60" i="4"/>
  <c r="H88" i="4"/>
  <c r="G289" i="4"/>
  <c r="G187" i="4"/>
  <c r="G161" i="4"/>
  <c r="G184" i="4"/>
  <c r="F302" i="4"/>
  <c r="F171" i="4"/>
  <c r="G268" i="4"/>
  <c r="G146" i="4"/>
  <c r="F284" i="4"/>
  <c r="G94" i="4"/>
  <c r="G108" i="4"/>
  <c r="H57" i="4"/>
  <c r="F232" i="4"/>
  <c r="G149" i="4"/>
  <c r="G261" i="4"/>
  <c r="G9" i="4"/>
  <c r="F243" i="4"/>
  <c r="G246" i="4"/>
  <c r="G306" i="4"/>
  <c r="G159" i="4"/>
  <c r="H261" i="4"/>
  <c r="G214" i="4"/>
  <c r="F206" i="4"/>
  <c r="G147" i="4"/>
  <c r="F166" i="4"/>
  <c r="F79" i="4"/>
  <c r="F170" i="4"/>
  <c r="F231" i="4"/>
  <c r="F133" i="4"/>
  <c r="F40" i="4"/>
  <c r="F277" i="4"/>
  <c r="F249" i="4"/>
  <c r="H262" i="4"/>
  <c r="F172" i="4"/>
  <c r="F141" i="4"/>
  <c r="H71" i="4"/>
  <c r="H93" i="4"/>
  <c r="H74" i="4"/>
  <c r="H94" i="4"/>
  <c r="H67" i="4"/>
  <c r="H87" i="4"/>
  <c r="H72" i="4"/>
  <c r="H92" i="4"/>
  <c r="H256" i="4"/>
  <c r="F265" i="4"/>
  <c r="G262" i="4"/>
  <c r="G46" i="4"/>
  <c r="F242" i="4"/>
  <c r="G241" i="4"/>
  <c r="G297" i="4"/>
  <c r="G286" i="4"/>
  <c r="G244" i="4"/>
  <c r="G285" i="4"/>
  <c r="F237" i="4"/>
  <c r="G259" i="4"/>
  <c r="F92" i="4"/>
  <c r="F138" i="4"/>
  <c r="F140" i="4"/>
  <c r="G177" i="4"/>
  <c r="F51" i="4"/>
  <c r="F181" i="4"/>
  <c r="F25" i="4"/>
  <c r="F26" i="4"/>
  <c r="F126" i="4"/>
  <c r="F217" i="4"/>
  <c r="G164" i="4"/>
  <c r="F33" i="4"/>
  <c r="G76" i="4"/>
  <c r="G168" i="4"/>
  <c r="G160" i="4"/>
  <c r="F82" i="4"/>
  <c r="G69" i="4"/>
  <c r="F35" i="4"/>
  <c r="G169" i="4"/>
  <c r="F71" i="4"/>
  <c r="G117" i="4"/>
  <c r="G208" i="4"/>
  <c r="G78" i="4"/>
  <c r="G34" i="4"/>
  <c r="F211" i="4"/>
  <c r="F24" i="4"/>
  <c r="G75" i="4"/>
  <c r="F205" i="4"/>
  <c r="G224" i="4"/>
  <c r="G192" i="4"/>
  <c r="G201" i="4"/>
  <c r="F185" i="4"/>
  <c r="F175" i="4"/>
  <c r="F107" i="4"/>
  <c r="F270" i="4"/>
  <c r="G273" i="4"/>
  <c r="G276" i="4"/>
  <c r="G274" i="4"/>
  <c r="F70" i="4"/>
  <c r="F61" i="4"/>
  <c r="F256" i="4"/>
  <c r="G74" i="4"/>
  <c r="F64" i="4"/>
  <c r="F238" i="4"/>
  <c r="F48" i="4"/>
  <c r="G19" i="4"/>
  <c r="G11" i="4"/>
  <c r="G199" i="4"/>
  <c r="F196" i="4"/>
  <c r="F17" i="4"/>
  <c r="G100" i="4"/>
  <c r="F200" i="4"/>
  <c r="G56" i="4"/>
  <c r="G193" i="4"/>
  <c r="G59" i="4"/>
  <c r="F21" i="4"/>
  <c r="G197" i="4"/>
  <c r="G155" i="4"/>
  <c r="G104" i="4"/>
  <c r="F20" i="4"/>
  <c r="G10" i="4"/>
  <c r="F209" i="4"/>
  <c r="F279" i="4"/>
  <c r="F152" i="4"/>
  <c r="G183" i="4"/>
  <c r="G180" i="4"/>
  <c r="F264" i="4"/>
  <c r="G137" i="4"/>
  <c r="G111" i="4"/>
  <c r="F272" i="4"/>
  <c r="F87" i="4"/>
  <c r="G97" i="4"/>
  <c r="G73" i="4"/>
  <c r="F55" i="4"/>
  <c r="F255" i="4"/>
  <c r="F42" i="4"/>
  <c r="G27" i="4"/>
  <c r="G47" i="4"/>
  <c r="P30" i="4"/>
  <c r="F37" i="4"/>
  <c r="F12" i="4"/>
  <c r="G234" i="4"/>
  <c r="F290" i="4"/>
  <c r="F287" i="4"/>
  <c r="F236" i="4"/>
  <c r="G227" i="4"/>
  <c r="G96" i="4"/>
  <c r="G88" i="4"/>
  <c r="F30" i="4"/>
  <c r="G15" i="4"/>
  <c r="G178" i="4"/>
  <c r="F60" i="4"/>
  <c r="G45" i="4"/>
  <c r="G30" i="4"/>
  <c r="F13" i="4"/>
  <c r="F216" i="4"/>
  <c r="G167" i="4"/>
  <c r="G118" i="4"/>
  <c r="G63" i="4"/>
  <c r="F16" i="4"/>
  <c r="G93" i="4"/>
  <c r="G18" i="4"/>
  <c r="G189" i="4"/>
  <c r="F148" i="4"/>
  <c r="G103" i="4"/>
  <c r="F32" i="4"/>
  <c r="F212" i="4"/>
  <c r="F202" i="4"/>
  <c r="G145" i="4"/>
  <c r="G81" i="4"/>
  <c r="G67" i="4"/>
  <c r="H61" i="4"/>
  <c r="H81" i="4"/>
  <c r="H97" i="4"/>
  <c r="H70" i="4"/>
  <c r="H86" i="4"/>
  <c r="H56" i="4"/>
  <c r="H69" i="4"/>
  <c r="H83" i="4"/>
  <c r="H64" i="4"/>
  <c r="H80" i="4"/>
  <c r="H251" i="4"/>
  <c r="E27" i="4" l="1"/>
  <c r="R36" i="15"/>
  <c r="N40" i="15"/>
  <c r="P40" i="15" s="1"/>
  <c r="R26" i="15"/>
  <c r="N13" i="15"/>
  <c r="O13" i="15" s="1"/>
  <c r="N37" i="15"/>
  <c r="Q37" i="15" s="1"/>
  <c r="Q31" i="15"/>
  <c r="N35" i="15"/>
  <c r="O35" i="15" s="1"/>
  <c r="N12" i="15"/>
  <c r="Q12" i="15" s="1"/>
  <c r="N30" i="15"/>
  <c r="R30" i="15" s="1"/>
  <c r="R22" i="15"/>
  <c r="O38" i="15"/>
  <c r="N32" i="15"/>
  <c r="P32" i="15" s="1"/>
  <c r="Q39" i="15"/>
  <c r="R20" i="15"/>
  <c r="O39" i="15"/>
  <c r="R21" i="15"/>
  <c r="R23" i="15"/>
  <c r="Q33" i="15"/>
  <c r="P31" i="15"/>
  <c r="Q38" i="15"/>
  <c r="O31" i="15"/>
  <c r="P39" i="15"/>
  <c r="R38" i="15"/>
  <c r="P33" i="15"/>
  <c r="R33" i="15"/>
  <c r="Q34" i="15"/>
  <c r="O34" i="15"/>
  <c r="P34" i="15"/>
  <c r="O43" i="15"/>
  <c r="O41" i="15"/>
  <c r="N17" i="15"/>
  <c r="R17" i="15" s="1"/>
  <c r="N25" i="15"/>
  <c r="R25" i="15" s="1"/>
  <c r="H177" i="13"/>
  <c r="L893" i="15" s="1"/>
  <c r="H177" i="11"/>
  <c r="L533" i="15" s="1"/>
  <c r="H177" i="14"/>
  <c r="L173" i="15" s="1"/>
  <c r="H177" i="12"/>
  <c r="L713" i="15" s="1"/>
  <c r="H177" i="10"/>
  <c r="L353" i="15" s="1"/>
  <c r="H162" i="14"/>
  <c r="L158" i="15" s="1"/>
  <c r="H162" i="10"/>
  <c r="L338" i="15" s="1"/>
  <c r="H162" i="13"/>
  <c r="L878" i="15" s="1"/>
  <c r="H162" i="12"/>
  <c r="L698" i="15" s="1"/>
  <c r="H162" i="11"/>
  <c r="L518" i="15" s="1"/>
  <c r="F69" i="5"/>
  <c r="G69" i="5" s="1"/>
  <c r="J338" i="4" s="1"/>
  <c r="F69" i="2"/>
  <c r="G69" i="2" s="1"/>
  <c r="J323" i="4" s="1"/>
  <c r="F69" i="8"/>
  <c r="G69" i="8" s="1"/>
  <c r="J308" i="4" s="1"/>
  <c r="F69" i="7"/>
  <c r="G69" i="7" s="1"/>
  <c r="J368" i="4" s="1"/>
  <c r="F69" i="6"/>
  <c r="G69" i="6" s="1"/>
  <c r="J353" i="4" s="1"/>
  <c r="N24" i="15"/>
  <c r="R24" i="15" s="1"/>
  <c r="N27" i="15"/>
  <c r="R27" i="15" s="1"/>
  <c r="N29" i="15"/>
  <c r="O29" i="15" s="1"/>
  <c r="N28" i="15"/>
  <c r="R28" i="15" s="1"/>
  <c r="Q22" i="15"/>
  <c r="Q36" i="15"/>
  <c r="Q41" i="15"/>
  <c r="Q42" i="15"/>
  <c r="P42" i="15"/>
  <c r="O42" i="15"/>
  <c r="Q43" i="15"/>
  <c r="O36" i="15"/>
  <c r="P36" i="15"/>
  <c r="R43" i="15"/>
  <c r="O22" i="15"/>
  <c r="P41" i="15"/>
  <c r="Q23" i="15"/>
  <c r="O18" i="15"/>
  <c r="Q18" i="15"/>
  <c r="Q19" i="15"/>
  <c r="O23" i="15"/>
  <c r="P23" i="15"/>
  <c r="N16" i="15"/>
  <c r="R16" i="15" s="1"/>
  <c r="O26" i="15"/>
  <c r="O19" i="15"/>
  <c r="Q26" i="15"/>
  <c r="P18" i="15"/>
  <c r="P26" i="15"/>
  <c r="P22" i="15"/>
  <c r="P19" i="15"/>
  <c r="R11" i="15"/>
  <c r="P11" i="15"/>
  <c r="E122" i="4"/>
  <c r="P15" i="15"/>
  <c r="O20" i="15"/>
  <c r="P20" i="15"/>
  <c r="Q11" i="15"/>
  <c r="E119" i="4"/>
  <c r="Q20" i="15"/>
  <c r="Q15" i="15"/>
  <c r="O15" i="15"/>
  <c r="E93" i="4"/>
  <c r="R14" i="15"/>
  <c r="E185" i="4"/>
  <c r="E271" i="4"/>
  <c r="E346" i="4" s="1"/>
  <c r="E22" i="4"/>
  <c r="E53" i="4"/>
  <c r="E196" i="4"/>
  <c r="E236" i="4"/>
  <c r="E311" i="4" s="1"/>
  <c r="E269" i="4"/>
  <c r="E344" i="4" s="1"/>
  <c r="Q21" i="15"/>
  <c r="O14" i="15"/>
  <c r="E239" i="4"/>
  <c r="E314" i="4" s="1"/>
  <c r="Q14" i="15"/>
  <c r="E98" i="4"/>
  <c r="E215" i="4"/>
  <c r="E166" i="4"/>
  <c r="E258" i="4"/>
  <c r="E333" i="4" s="1"/>
  <c r="E302" i="4"/>
  <c r="E377" i="4" s="1"/>
  <c r="E224" i="4"/>
  <c r="E99" i="4"/>
  <c r="E123" i="4"/>
  <c r="E290" i="4"/>
  <c r="E365" i="4" s="1"/>
  <c r="E80" i="4"/>
  <c r="E212" i="4"/>
  <c r="E150" i="4"/>
  <c r="E246" i="4"/>
  <c r="E321" i="4" s="1"/>
  <c r="E270" i="4"/>
  <c r="E345" i="4" s="1"/>
  <c r="E41" i="4"/>
  <c r="E193" i="4"/>
  <c r="E209" i="4"/>
  <c r="E204" i="4"/>
  <c r="E228" i="4"/>
  <c r="E69" i="4"/>
  <c r="E287" i="4"/>
  <c r="E362" i="4" s="1"/>
  <c r="E243" i="4"/>
  <c r="E318" i="4" s="1"/>
  <c r="E272" i="4"/>
  <c r="E347" i="4" s="1"/>
  <c r="E199" i="4"/>
  <c r="E217" i="4"/>
  <c r="E208" i="4"/>
  <c r="E301" i="4"/>
  <c r="E376" i="4" s="1"/>
  <c r="E96" i="4"/>
  <c r="E278" i="4"/>
  <c r="E353" i="4" s="1"/>
  <c r="E240" i="4"/>
  <c r="E315" i="4" s="1"/>
  <c r="E257" i="4"/>
  <c r="E332" i="4" s="1"/>
  <c r="E207" i="4"/>
  <c r="E188" i="4"/>
  <c r="E220" i="4"/>
  <c r="E298" i="4"/>
  <c r="E373" i="4" s="1"/>
  <c r="E77" i="4"/>
  <c r="E282" i="4"/>
  <c r="E357" i="4" s="1"/>
  <c r="E254" i="4"/>
  <c r="E329" i="4" s="1"/>
  <c r="E247" i="4"/>
  <c r="E322" i="4" s="1"/>
  <c r="E245" i="4"/>
  <c r="E320" i="4" s="1"/>
  <c r="E242" i="4"/>
  <c r="E317" i="4" s="1"/>
  <c r="E273" i="4"/>
  <c r="E348" i="4" s="1"/>
  <c r="E264" i="4"/>
  <c r="E339" i="4" s="1"/>
  <c r="E274" i="4"/>
  <c r="E349" i="4" s="1"/>
  <c r="E15" i="4"/>
  <c r="E43" i="4"/>
  <c r="E106" i="4"/>
  <c r="E126" i="4"/>
  <c r="E103" i="4"/>
  <c r="E127" i="4"/>
  <c r="E149" i="4"/>
  <c r="E182" i="4"/>
  <c r="E241" i="4"/>
  <c r="E316" i="4" s="1"/>
  <c r="E234" i="4"/>
  <c r="E309" i="4" s="1"/>
  <c r="E244" i="4"/>
  <c r="E319" i="4" s="1"/>
  <c r="E263" i="4"/>
  <c r="E338" i="4" s="1"/>
  <c r="E266" i="4"/>
  <c r="E341" i="4" s="1"/>
  <c r="E276" i="4"/>
  <c r="E351" i="4" s="1"/>
  <c r="E33" i="4"/>
  <c r="E49" i="4"/>
  <c r="E110" i="4"/>
  <c r="E130" i="4"/>
  <c r="E111" i="4"/>
  <c r="E131" i="4"/>
  <c r="E147" i="4"/>
  <c r="O21" i="15"/>
  <c r="E195" i="4"/>
  <c r="E231" i="4"/>
  <c r="E192" i="4"/>
  <c r="E285" i="4"/>
  <c r="E360" i="4" s="1"/>
  <c r="E235" i="4"/>
  <c r="E310" i="4" s="1"/>
  <c r="E265" i="4"/>
  <c r="E340" i="4" s="1"/>
  <c r="E267" i="4"/>
  <c r="E342" i="4" s="1"/>
  <c r="E268" i="4"/>
  <c r="E343" i="4" s="1"/>
  <c r="E139" i="4"/>
  <c r="E114" i="4"/>
  <c r="E140" i="4"/>
  <c r="E115" i="4"/>
  <c r="E135" i="4"/>
  <c r="E184" i="4"/>
  <c r="E91" i="4"/>
  <c r="E20" i="4"/>
  <c r="E137" i="4"/>
  <c r="E226" i="4"/>
  <c r="E288" i="4"/>
  <c r="E363" i="4" s="1"/>
  <c r="E305" i="4"/>
  <c r="E380" i="4" s="1"/>
  <c r="E306" i="4"/>
  <c r="E381" i="4" s="1"/>
  <c r="E62" i="4"/>
  <c r="E73" i="4"/>
  <c r="E88" i="4"/>
  <c r="E63" i="4"/>
  <c r="E85" i="4"/>
  <c r="E261" i="4"/>
  <c r="E336" i="4" s="1"/>
  <c r="E262" i="4"/>
  <c r="E337" i="4" s="1"/>
  <c r="E29" i="4"/>
  <c r="E37" i="4"/>
  <c r="E52" i="4"/>
  <c r="E17" i="4"/>
  <c r="E16" i="4"/>
  <c r="E173" i="4"/>
  <c r="E165" i="4"/>
  <c r="E163" i="4"/>
  <c r="E158" i="4"/>
  <c r="E174" i="4"/>
  <c r="E304" i="4"/>
  <c r="E379" i="4" s="1"/>
  <c r="E256" i="4"/>
  <c r="E331" i="4" s="1"/>
  <c r="E197" i="4"/>
  <c r="E223" i="4"/>
  <c r="E225" i="4"/>
  <c r="E200" i="4"/>
  <c r="E216" i="4"/>
  <c r="E232" i="4"/>
  <c r="E294" i="4"/>
  <c r="E369" i="4" s="1"/>
  <c r="E55" i="4"/>
  <c r="E66" i="4"/>
  <c r="E76" i="4"/>
  <c r="E92" i="4"/>
  <c r="E67" i="4"/>
  <c r="E89" i="4"/>
  <c r="E279" i="4"/>
  <c r="E354" i="4" s="1"/>
  <c r="E286" i="4"/>
  <c r="E361" i="4" s="1"/>
  <c r="E233" i="4"/>
  <c r="E308" i="4" s="1"/>
  <c r="E237" i="4"/>
  <c r="E312" i="4" s="1"/>
  <c r="E238" i="4"/>
  <c r="E313" i="4" s="1"/>
  <c r="E277" i="4"/>
  <c r="E352" i="4" s="1"/>
  <c r="E275" i="4"/>
  <c r="E350" i="4" s="1"/>
  <c r="E255" i="4"/>
  <c r="E330" i="4" s="1"/>
  <c r="E250" i="4"/>
  <c r="E325" i="4" s="1"/>
  <c r="E13" i="4"/>
  <c r="E31" i="4"/>
  <c r="E39" i="4"/>
  <c r="E14" i="4"/>
  <c r="E28" i="4"/>
  <c r="E24" i="4"/>
  <c r="E102" i="4"/>
  <c r="E118" i="4"/>
  <c r="E134" i="4"/>
  <c r="E107" i="4"/>
  <c r="E143" i="4"/>
  <c r="E175" i="4"/>
  <c r="E144" i="4"/>
  <c r="E171" i="4"/>
  <c r="E162" i="4"/>
  <c r="E178" i="4"/>
  <c r="E8" i="4"/>
  <c r="P21" i="15"/>
  <c r="E303" i="4"/>
  <c r="E378" i="4" s="1"/>
  <c r="E58" i="4"/>
  <c r="E71" i="4"/>
  <c r="E84" i="4"/>
  <c r="E59" i="4"/>
  <c r="E81" i="4"/>
  <c r="E97" i="4"/>
  <c r="E259" i="4"/>
  <c r="E334" i="4" s="1"/>
  <c r="E21" i="4"/>
  <c r="E35" i="4"/>
  <c r="E45" i="4"/>
  <c r="E47" i="4"/>
  <c r="E50" i="4"/>
  <c r="E179" i="4"/>
  <c r="E157" i="4"/>
  <c r="E155" i="4"/>
  <c r="E154" i="4"/>
  <c r="E170" i="4"/>
  <c r="E186" i="4"/>
  <c r="E189" i="4"/>
  <c r="E203" i="4"/>
  <c r="E219" i="4"/>
  <c r="E205" i="4"/>
  <c r="E221" i="4"/>
  <c r="E190" i="4"/>
  <c r="E198" i="4"/>
  <c r="E206" i="4"/>
  <c r="E214" i="4"/>
  <c r="E222" i="4"/>
  <c r="E230" i="4"/>
  <c r="E295" i="4"/>
  <c r="E370" i="4" s="1"/>
  <c r="E299" i="4"/>
  <c r="E374" i="4" s="1"/>
  <c r="E300" i="4"/>
  <c r="E375" i="4" s="1"/>
  <c r="E307" i="4"/>
  <c r="E382" i="4" s="1"/>
  <c r="E57" i="4"/>
  <c r="E64" i="4"/>
  <c r="E70" i="4"/>
  <c r="E74" i="4"/>
  <c r="E82" i="4"/>
  <c r="E90" i="4"/>
  <c r="E56" i="4"/>
  <c r="E65" i="4"/>
  <c r="E79" i="4"/>
  <c r="E87" i="4"/>
  <c r="E95" i="4"/>
  <c r="E289" i="4"/>
  <c r="E364" i="4" s="1"/>
  <c r="E291" i="4"/>
  <c r="E366" i="4" s="1"/>
  <c r="E284" i="4"/>
  <c r="E359" i="4" s="1"/>
  <c r="E292" i="4"/>
  <c r="E367" i="4" s="1"/>
  <c r="E249" i="4"/>
  <c r="E324" i="4" s="1"/>
  <c r="E253" i="4"/>
  <c r="E328" i="4" s="1"/>
  <c r="E252" i="4"/>
  <c r="E327" i="4" s="1"/>
  <c r="E260" i="4"/>
  <c r="E335" i="4" s="1"/>
  <c r="E11" i="4"/>
  <c r="E25" i="4"/>
  <c r="E32" i="4"/>
  <c r="E36" i="4"/>
  <c r="E40" i="4"/>
  <c r="E48" i="4"/>
  <c r="E18" i="4"/>
  <c r="E51" i="4"/>
  <c r="E42" i="4"/>
  <c r="E12" i="4"/>
  <c r="E26" i="4"/>
  <c r="E142" i="4"/>
  <c r="E104" i="4"/>
  <c r="E112" i="4"/>
  <c r="E120" i="4"/>
  <c r="E128" i="4"/>
  <c r="E136" i="4"/>
  <c r="E101" i="4"/>
  <c r="E109" i="4"/>
  <c r="E117" i="4"/>
  <c r="E125" i="4"/>
  <c r="E133" i="4"/>
  <c r="E177" i="4"/>
  <c r="E187" i="4"/>
  <c r="E183" i="4"/>
  <c r="E161" i="4"/>
  <c r="E145" i="4"/>
  <c r="E159" i="4"/>
  <c r="E148" i="4"/>
  <c r="E156" i="4"/>
  <c r="E164" i="4"/>
  <c r="E172" i="4"/>
  <c r="E180" i="4"/>
  <c r="E201" i="4"/>
  <c r="E191" i="4"/>
  <c r="E211" i="4"/>
  <c r="E227" i="4"/>
  <c r="E213" i="4"/>
  <c r="E229" i="4"/>
  <c r="E194" i="4"/>
  <c r="E202" i="4"/>
  <c r="E210" i="4"/>
  <c r="E218" i="4"/>
  <c r="E293" i="4"/>
  <c r="E368" i="4" s="1"/>
  <c r="E297" i="4"/>
  <c r="E372" i="4" s="1"/>
  <c r="E296" i="4"/>
  <c r="E371" i="4" s="1"/>
  <c r="E54" i="4"/>
  <c r="E60" i="4"/>
  <c r="E68" i="4"/>
  <c r="E72" i="4"/>
  <c r="E78" i="4"/>
  <c r="E86" i="4"/>
  <c r="E94" i="4"/>
  <c r="E61" i="4"/>
  <c r="E75" i="4"/>
  <c r="E83" i="4"/>
  <c r="E281" i="4"/>
  <c r="E356" i="4" s="1"/>
  <c r="E283" i="4"/>
  <c r="E358" i="4" s="1"/>
  <c r="E280" i="4"/>
  <c r="E355" i="4" s="1"/>
  <c r="E251" i="4"/>
  <c r="E326" i="4" s="1"/>
  <c r="E248" i="4"/>
  <c r="E323" i="4" s="1"/>
  <c r="E9" i="4"/>
  <c r="E19" i="4"/>
  <c r="E30" i="4"/>
  <c r="E34" i="4"/>
  <c r="E38" i="4"/>
  <c r="E44" i="4"/>
  <c r="E10" i="4"/>
  <c r="E23" i="4"/>
  <c r="E46" i="4"/>
  <c r="E138" i="4"/>
  <c r="E100" i="4"/>
  <c r="E108" i="4"/>
  <c r="E116" i="4"/>
  <c r="E124" i="4"/>
  <c r="E132" i="4"/>
  <c r="E141" i="4"/>
  <c r="E105" i="4"/>
  <c r="E113" i="4"/>
  <c r="E121" i="4"/>
  <c r="E129" i="4"/>
  <c r="E146" i="4"/>
  <c r="E181" i="4"/>
  <c r="E153" i="4"/>
  <c r="E169" i="4"/>
  <c r="E151" i="4"/>
  <c r="E167" i="4"/>
  <c r="E152" i="4"/>
  <c r="E160" i="4"/>
  <c r="E168" i="4"/>
  <c r="E176" i="4"/>
  <c r="O10" i="15"/>
  <c r="R10" i="15"/>
  <c r="P10" i="15"/>
  <c r="Q10" i="15"/>
  <c r="O9" i="15"/>
  <c r="Q9" i="15"/>
  <c r="P9" i="15"/>
  <c r="R9" i="15"/>
  <c r="R8" i="15"/>
  <c r="P8" i="15"/>
  <c r="Q8" i="15"/>
  <c r="O8" i="15"/>
  <c r="H248" i="4"/>
  <c r="H254" i="4"/>
  <c r="H253" i="4"/>
  <c r="H252" i="4"/>
  <c r="H260" i="4"/>
  <c r="H257" i="4"/>
  <c r="H250" i="4"/>
  <c r="H258" i="4"/>
  <c r="H255" i="4"/>
  <c r="H249" i="4"/>
  <c r="L11" i="4" a="1"/>
  <c r="L11" i="4" s="1"/>
  <c r="L10" i="4" a="1"/>
  <c r="L10" i="4" s="1"/>
  <c r="L16" i="4" a="1"/>
  <c r="L16" i="4" s="1"/>
  <c r="L17" i="4" a="1"/>
  <c r="L17" i="4" s="1"/>
  <c r="L23" i="4" a="1"/>
  <c r="L23" i="4" s="1"/>
  <c r="L8" i="4" a="1"/>
  <c r="L8" i="4" s="1"/>
  <c r="L13" i="4" a="1"/>
  <c r="L13" i="4" s="1"/>
  <c r="L18" i="4" a="1"/>
  <c r="L18" i="4" s="1"/>
  <c r="L24" i="4" a="1"/>
  <c r="L24" i="4" s="1"/>
  <c r="L12" i="4" a="1"/>
  <c r="L12" i="4" s="1"/>
  <c r="L14" i="4" a="1"/>
  <c r="L14" i="4" s="1"/>
  <c r="L19" i="4" a="1"/>
  <c r="L19" i="4" s="1"/>
  <c r="L21" i="4" a="1"/>
  <c r="L21" i="4" s="1"/>
  <c r="L9" i="4" a="1"/>
  <c r="L9" i="4" s="1"/>
  <c r="L15" i="4" a="1"/>
  <c r="L15" i="4" s="1"/>
  <c r="L25" i="4" a="1"/>
  <c r="L25" i="4" s="1"/>
  <c r="L20" i="4" a="1"/>
  <c r="L20" i="4" s="1"/>
  <c r="L22" i="4" a="1"/>
  <c r="L22" i="4" s="1"/>
  <c r="F56" i="5"/>
  <c r="G56" i="5" s="1"/>
  <c r="J265" i="4" s="1"/>
  <c r="F55" i="6"/>
  <c r="G55" i="6" s="1"/>
  <c r="J279" i="4" s="1"/>
  <c r="F55" i="8"/>
  <c r="G55" i="8" s="1"/>
  <c r="J234" i="4" s="1"/>
  <c r="F67" i="7"/>
  <c r="G67" i="7" s="1"/>
  <c r="J306" i="4" s="1"/>
  <c r="F67" i="6"/>
  <c r="G67" i="6" s="1"/>
  <c r="J291" i="4" s="1"/>
  <c r="F67" i="2"/>
  <c r="G67" i="2" s="1"/>
  <c r="J261" i="4" s="1"/>
  <c r="F67" i="8"/>
  <c r="G67" i="8" s="1"/>
  <c r="J246" i="4" s="1"/>
  <c r="F67" i="5"/>
  <c r="G67" i="5" s="1"/>
  <c r="J276" i="4" s="1"/>
  <c r="F56" i="6"/>
  <c r="G56" i="6" s="1"/>
  <c r="J280" i="4" s="1"/>
  <c r="F56" i="2"/>
  <c r="G56" i="2" s="1"/>
  <c r="J250" i="4" s="1"/>
  <c r="F51" i="6"/>
  <c r="G51" i="6" s="1"/>
  <c r="J185" i="4" s="1"/>
  <c r="F51" i="7"/>
  <c r="G51" i="7" s="1"/>
  <c r="J230" i="4" s="1"/>
  <c r="F51" i="5"/>
  <c r="G51" i="5" s="1"/>
  <c r="J140" i="4" s="1"/>
  <c r="F51" i="2"/>
  <c r="G51" i="2" s="1"/>
  <c r="J95" i="4" s="1"/>
  <c r="F51" i="8"/>
  <c r="G51" i="8" s="1"/>
  <c r="J50" i="4" s="1"/>
  <c r="F68" i="7"/>
  <c r="G68" i="7" s="1"/>
  <c r="J307" i="4" s="1"/>
  <c r="F68" i="6"/>
  <c r="G68" i="6" s="1"/>
  <c r="J292" i="4" s="1"/>
  <c r="F68" i="5"/>
  <c r="G68" i="5" s="1"/>
  <c r="J277" i="4" s="1"/>
  <c r="F68" i="2"/>
  <c r="G68" i="2" s="1"/>
  <c r="J262" i="4" s="1"/>
  <c r="F68" i="8"/>
  <c r="G68" i="8" s="1"/>
  <c r="J247" i="4" s="1"/>
  <c r="F49" i="6"/>
  <c r="G49" i="6" s="1"/>
  <c r="J183" i="4" s="1"/>
  <c r="F49" i="7"/>
  <c r="G49" i="7" s="1"/>
  <c r="J228" i="4" s="1"/>
  <c r="F49" i="2"/>
  <c r="G49" i="2" s="1"/>
  <c r="J93" i="4" s="1"/>
  <c r="F49" i="5"/>
  <c r="G49" i="5" s="1"/>
  <c r="J138" i="4" s="1"/>
  <c r="F49" i="8"/>
  <c r="G49" i="8" s="1"/>
  <c r="J48" i="4" s="1"/>
  <c r="F60" i="7"/>
  <c r="G60" i="7" s="1"/>
  <c r="J299" i="4" s="1"/>
  <c r="F60" i="6"/>
  <c r="G60" i="6" s="1"/>
  <c r="J284" i="4" s="1"/>
  <c r="F60" i="2"/>
  <c r="G60" i="2" s="1"/>
  <c r="J254" i="4" s="1"/>
  <c r="F60" i="5"/>
  <c r="G60" i="5" s="1"/>
  <c r="J269" i="4" s="1"/>
  <c r="F60" i="8"/>
  <c r="G60" i="8" s="1"/>
  <c r="J239" i="4" s="1"/>
  <c r="F61" i="6"/>
  <c r="G61" i="6" s="1"/>
  <c r="J285" i="4" s="1"/>
  <c r="F61" i="7"/>
  <c r="G61" i="7" s="1"/>
  <c r="J300" i="4" s="1"/>
  <c r="F61" i="5"/>
  <c r="G61" i="5" s="1"/>
  <c r="J270" i="4" s="1"/>
  <c r="F61" i="2"/>
  <c r="G61" i="2" s="1"/>
  <c r="J255" i="4" s="1"/>
  <c r="F61" i="8"/>
  <c r="G61" i="8" s="1"/>
  <c r="J240" i="4" s="1"/>
  <c r="F40" i="7"/>
  <c r="G40" i="7" s="1"/>
  <c r="J219" i="4" s="1"/>
  <c r="F40" i="6"/>
  <c r="G40" i="6" s="1"/>
  <c r="J174" i="4" s="1"/>
  <c r="F40" i="5"/>
  <c r="G40" i="5" s="1"/>
  <c r="J129" i="4" s="1"/>
  <c r="F40" i="8"/>
  <c r="G40" i="8" s="1"/>
  <c r="J39" i="4" s="1"/>
  <c r="F40" i="2"/>
  <c r="G40" i="2" s="1"/>
  <c r="J84" i="4" s="1"/>
  <c r="F52" i="7"/>
  <c r="G52" i="7" s="1"/>
  <c r="J231" i="4" s="1"/>
  <c r="F52" i="5"/>
  <c r="G52" i="5" s="1"/>
  <c r="J141" i="4" s="1"/>
  <c r="F52" i="6"/>
  <c r="G52" i="6" s="1"/>
  <c r="J186" i="4" s="1"/>
  <c r="F52" i="2"/>
  <c r="G52" i="2" s="1"/>
  <c r="J96" i="4" s="1"/>
  <c r="F52" i="8"/>
  <c r="G52" i="8" s="1"/>
  <c r="J51" i="4" s="1"/>
  <c r="F41" i="7"/>
  <c r="G41" i="7" s="1"/>
  <c r="J220" i="4" s="1"/>
  <c r="F41" i="6"/>
  <c r="G41" i="6" s="1"/>
  <c r="J175" i="4" s="1"/>
  <c r="F41" i="5"/>
  <c r="G41" i="5" s="1"/>
  <c r="J130" i="4" s="1"/>
  <c r="F41" i="2"/>
  <c r="G41" i="2" s="1"/>
  <c r="J85" i="4" s="1"/>
  <c r="F41" i="8"/>
  <c r="G41" i="8" s="1"/>
  <c r="J40" i="4" s="1"/>
  <c r="F45" i="7"/>
  <c r="G45" i="7" s="1"/>
  <c r="J224" i="4" s="1"/>
  <c r="F45" i="6"/>
  <c r="G45" i="6" s="1"/>
  <c r="J179" i="4" s="1"/>
  <c r="F45" i="5"/>
  <c r="G45" i="5" s="1"/>
  <c r="J134" i="4" s="1"/>
  <c r="F45" i="2"/>
  <c r="G45" i="2" s="1"/>
  <c r="J89" i="4" s="1"/>
  <c r="F45" i="8"/>
  <c r="G45" i="8" s="1"/>
  <c r="J44" i="4" s="1"/>
  <c r="F46" i="7"/>
  <c r="G46" i="7" s="1"/>
  <c r="J225" i="4" s="1"/>
  <c r="F46" i="6"/>
  <c r="G46" i="6" s="1"/>
  <c r="J180" i="4" s="1"/>
  <c r="F46" i="5"/>
  <c r="G46" i="5" s="1"/>
  <c r="J135" i="4" s="1"/>
  <c r="F46" i="2"/>
  <c r="G46" i="2" s="1"/>
  <c r="J90" i="4" s="1"/>
  <c r="F46" i="8"/>
  <c r="G46" i="8" s="1"/>
  <c r="J45" i="4" s="1"/>
  <c r="F59" i="6"/>
  <c r="G59" i="6" s="1"/>
  <c r="J283" i="4" s="1"/>
  <c r="F59" i="5"/>
  <c r="G59" i="5" s="1"/>
  <c r="J268" i="4" s="1"/>
  <c r="F59" i="7"/>
  <c r="G59" i="7" s="1"/>
  <c r="J298" i="4" s="1"/>
  <c r="F59" i="2"/>
  <c r="G59" i="2" s="1"/>
  <c r="J253" i="4" s="1"/>
  <c r="F59" i="8"/>
  <c r="G59" i="8" s="1"/>
  <c r="J238" i="4" s="1"/>
  <c r="F65" i="7"/>
  <c r="G65" i="7" s="1"/>
  <c r="J304" i="4" s="1"/>
  <c r="F65" i="6"/>
  <c r="G65" i="6" s="1"/>
  <c r="J289" i="4" s="1"/>
  <c r="F65" i="5"/>
  <c r="G65" i="5" s="1"/>
  <c r="J274" i="4" s="1"/>
  <c r="F65" i="8"/>
  <c r="G65" i="8" s="1"/>
  <c r="J244" i="4" s="1"/>
  <c r="F65" i="2"/>
  <c r="G65" i="2" s="1"/>
  <c r="J259" i="4" s="1"/>
  <c r="F63" i="7"/>
  <c r="G63" i="7" s="1"/>
  <c r="J302" i="4" s="1"/>
  <c r="F63" i="6"/>
  <c r="G63" i="6" s="1"/>
  <c r="J287" i="4" s="1"/>
  <c r="F63" i="5"/>
  <c r="G63" i="5" s="1"/>
  <c r="J272" i="4" s="1"/>
  <c r="F63" i="2"/>
  <c r="G63" i="2" s="1"/>
  <c r="J257" i="4" s="1"/>
  <c r="F63" i="8"/>
  <c r="G63" i="8" s="1"/>
  <c r="J242" i="4" s="1"/>
  <c r="F57" i="7"/>
  <c r="G57" i="7" s="1"/>
  <c r="J296" i="4" s="1"/>
  <c r="F57" i="5"/>
  <c r="G57" i="5" s="1"/>
  <c r="J266" i="4" s="1"/>
  <c r="F57" i="8"/>
  <c r="G57" i="8" s="1"/>
  <c r="J236" i="4" s="1"/>
  <c r="F57" i="6"/>
  <c r="G57" i="6" s="1"/>
  <c r="J281" i="4" s="1"/>
  <c r="F57" i="2"/>
  <c r="G57" i="2" s="1"/>
  <c r="J251" i="4" s="1"/>
  <c r="F44" i="7"/>
  <c r="G44" i="7" s="1"/>
  <c r="J223" i="4" s="1"/>
  <c r="F44" i="6"/>
  <c r="G44" i="6" s="1"/>
  <c r="J178" i="4" s="1"/>
  <c r="F44" i="2"/>
  <c r="G44" i="2" s="1"/>
  <c r="J88" i="4" s="1"/>
  <c r="F44" i="5"/>
  <c r="G44" i="5" s="1"/>
  <c r="J133" i="4" s="1"/>
  <c r="F44" i="8"/>
  <c r="G44" i="8" s="1"/>
  <c r="J43" i="4" s="1"/>
  <c r="F50" i="6"/>
  <c r="G50" i="6" s="1"/>
  <c r="J184" i="4" s="1"/>
  <c r="F50" i="7"/>
  <c r="G50" i="7" s="1"/>
  <c r="J229" i="4" s="1"/>
  <c r="F50" i="5"/>
  <c r="G50" i="5" s="1"/>
  <c r="J139" i="4" s="1"/>
  <c r="F50" i="2"/>
  <c r="G50" i="2" s="1"/>
  <c r="J94" i="4" s="1"/>
  <c r="F50" i="8"/>
  <c r="G50" i="8" s="1"/>
  <c r="J49" i="4" s="1"/>
  <c r="F66" i="7"/>
  <c r="G66" i="7" s="1"/>
  <c r="J305" i="4" s="1"/>
  <c r="F66" i="6"/>
  <c r="G66" i="6" s="1"/>
  <c r="J290" i="4" s="1"/>
  <c r="F66" i="5"/>
  <c r="G66" i="5" s="1"/>
  <c r="J275" i="4" s="1"/>
  <c r="F66" i="2"/>
  <c r="G66" i="2" s="1"/>
  <c r="J260" i="4" s="1"/>
  <c r="F66" i="8"/>
  <c r="G66" i="8" s="1"/>
  <c r="J245" i="4" s="1"/>
  <c r="F48" i="7"/>
  <c r="G48" i="7" s="1"/>
  <c r="J227" i="4" s="1"/>
  <c r="F48" i="6"/>
  <c r="G48" i="6" s="1"/>
  <c r="J182" i="4" s="1"/>
  <c r="F48" i="8"/>
  <c r="G48" i="8" s="1"/>
  <c r="J47" i="4" s="1"/>
  <c r="F48" i="5"/>
  <c r="G48" i="5" s="1"/>
  <c r="J137" i="4" s="1"/>
  <c r="F48" i="2"/>
  <c r="G48" i="2" s="1"/>
  <c r="J92" i="4" s="1"/>
  <c r="F64" i="7"/>
  <c r="G64" i="7" s="1"/>
  <c r="J303" i="4" s="1"/>
  <c r="F64" i="5"/>
  <c r="G64" i="5" s="1"/>
  <c r="J273" i="4" s="1"/>
  <c r="F64" i="8"/>
  <c r="G64" i="8" s="1"/>
  <c r="J243" i="4" s="1"/>
  <c r="F64" i="6"/>
  <c r="G64" i="6" s="1"/>
  <c r="J288" i="4" s="1"/>
  <c r="F64" i="2"/>
  <c r="G64" i="2" s="1"/>
  <c r="J258" i="4" s="1"/>
  <c r="F42" i="6"/>
  <c r="G42" i="6" s="1"/>
  <c r="J176" i="4" s="1"/>
  <c r="F42" i="7"/>
  <c r="G42" i="7" s="1"/>
  <c r="J221" i="4" s="1"/>
  <c r="F42" i="8"/>
  <c r="G42" i="8" s="1"/>
  <c r="J41" i="4" s="1"/>
  <c r="F42" i="5"/>
  <c r="G42" i="5" s="1"/>
  <c r="J131" i="4" s="1"/>
  <c r="F42" i="2"/>
  <c r="G42" i="2" s="1"/>
  <c r="J86" i="4" s="1"/>
  <c r="M25" i="4" l="1"/>
  <c r="N25" i="4" s="1"/>
  <c r="R40" i="15"/>
  <c r="O40" i="15"/>
  <c r="R13" i="15"/>
  <c r="Q13" i="15"/>
  <c r="P13" i="15"/>
  <c r="Q40" i="15"/>
  <c r="R37" i="15"/>
  <c r="O37" i="15"/>
  <c r="P37" i="15"/>
  <c r="P24" i="15"/>
  <c r="R12" i="15"/>
  <c r="O12" i="15"/>
  <c r="P12" i="15"/>
  <c r="R35" i="15"/>
  <c r="P35" i="15"/>
  <c r="Q30" i="15"/>
  <c r="O30" i="15"/>
  <c r="Q35" i="15"/>
  <c r="Q32" i="15"/>
  <c r="P30" i="15"/>
  <c r="R32" i="15"/>
  <c r="O32" i="15"/>
  <c r="M20" i="4"/>
  <c r="Q20" i="4" s="1"/>
  <c r="M22" i="4"/>
  <c r="O22" i="4" s="1"/>
  <c r="M21" i="4"/>
  <c r="P21" i="4" s="1"/>
  <c r="O17" i="15"/>
  <c r="Q17" i="15"/>
  <c r="P25" i="15"/>
  <c r="P17" i="15"/>
  <c r="O27" i="15"/>
  <c r="Q27" i="15"/>
  <c r="O25" i="15"/>
  <c r="Q25" i="15"/>
  <c r="P27" i="15"/>
  <c r="O24" i="15"/>
  <c r="Q24" i="15"/>
  <c r="F55" i="5"/>
  <c r="G55" i="5" s="1"/>
  <c r="J264" i="4" s="1"/>
  <c r="F56" i="8"/>
  <c r="G56" i="8" s="1"/>
  <c r="J235" i="4" s="1"/>
  <c r="F56" i="7"/>
  <c r="G56" i="7" s="1"/>
  <c r="J295" i="4" s="1"/>
  <c r="F55" i="7"/>
  <c r="G55" i="7" s="1"/>
  <c r="J294" i="4" s="1"/>
  <c r="F55" i="2"/>
  <c r="G55" i="2" s="1"/>
  <c r="J249" i="4" s="1"/>
  <c r="P28" i="15"/>
  <c r="P29" i="15"/>
  <c r="Q28" i="15"/>
  <c r="O28" i="15"/>
  <c r="Q29" i="15"/>
  <c r="R29" i="15"/>
  <c r="Q16" i="15"/>
  <c r="O16" i="15"/>
  <c r="P16" i="15"/>
  <c r="M23" i="4"/>
  <c r="O23" i="4" s="1"/>
  <c r="M19" i="4"/>
  <c r="P19" i="4" s="1"/>
  <c r="M24" i="4"/>
  <c r="O24" i="4" s="1"/>
  <c r="M17" i="4"/>
  <c r="N17" i="4" s="1"/>
  <c r="M11" i="4"/>
  <c r="N11" i="4" s="1"/>
  <c r="Q25" i="4"/>
  <c r="O25" i="4"/>
  <c r="M14" i="4"/>
  <c r="M15" i="4"/>
  <c r="M12" i="4"/>
  <c r="M18" i="4"/>
  <c r="M16" i="4"/>
  <c r="M9" i="4"/>
  <c r="M13" i="4"/>
  <c r="M10" i="4"/>
  <c r="M8" i="4"/>
  <c r="P25" i="4" l="1"/>
  <c r="R74" i="15" a="1"/>
  <c r="R74" i="15" s="1"/>
  <c r="N20" i="4"/>
  <c r="P20" i="4"/>
  <c r="O20" i="4"/>
  <c r="R54" i="15" a="1"/>
  <c r="R54" i="15" s="1"/>
  <c r="R78" i="15" s="1"/>
  <c r="C103" i="3" s="1"/>
  <c r="Q64" i="15" a="1"/>
  <c r="Q64" i="15" s="1"/>
  <c r="P69" i="15" a="1"/>
  <c r="P69" i="15" s="1"/>
  <c r="Q68" i="15" a="1"/>
  <c r="Q68" i="15" s="1"/>
  <c r="Q92" i="15" s="1"/>
  <c r="R52" i="15" a="1"/>
  <c r="R52" i="15" s="1"/>
  <c r="R76" i="15" s="1"/>
  <c r="C101" i="3" s="1"/>
  <c r="Q70" i="15" a="1"/>
  <c r="Q70" i="15" s="1"/>
  <c r="Q94" i="15" s="1"/>
  <c r="Q61" i="15" a="1"/>
  <c r="Q61" i="15" s="1"/>
  <c r="P70" i="15" a="1"/>
  <c r="P70" i="15" s="1"/>
  <c r="Q67" i="15" a="1"/>
  <c r="Q67" i="15" s="1"/>
  <c r="Q91" i="15" s="1"/>
  <c r="Q65" i="15" a="1"/>
  <c r="Q65" i="15" s="1"/>
  <c r="Q89" i="15" s="1"/>
  <c r="P72" i="15" a="1"/>
  <c r="P72" i="15" s="1"/>
  <c r="Q62" i="15" a="1"/>
  <c r="Q62" i="15" s="1"/>
  <c r="Q63" i="15" a="1"/>
  <c r="Q63" i="15" s="1"/>
  <c r="Q87" i="15" s="1"/>
  <c r="Q57" i="15" a="1"/>
  <c r="Q57" i="15" s="1"/>
  <c r="P68" i="15" a="1"/>
  <c r="P68" i="15" s="1"/>
  <c r="P120" i="15" s="1"/>
  <c r="I88" i="3" s="1"/>
  <c r="Q56" i="15" a="1"/>
  <c r="Q56" i="15" s="1"/>
  <c r="Q108" i="15" s="1"/>
  <c r="I95" i="3" s="1"/>
  <c r="Q69" i="15" a="1"/>
  <c r="Q69" i="15" s="1"/>
  <c r="Q93" i="15" s="1"/>
  <c r="P71" i="15" a="1"/>
  <c r="P71" i="15" s="1"/>
  <c r="Q59" i="15" a="1"/>
  <c r="Q59" i="15" s="1"/>
  <c r="Q73" i="15" a="1"/>
  <c r="Q73" i="15" s="1"/>
  <c r="Q71" i="15" a="1"/>
  <c r="Q71" i="15" s="1"/>
  <c r="Q95" i="15" s="1"/>
  <c r="Q72" i="15" a="1"/>
  <c r="Q72" i="15" s="1"/>
  <c r="Q96" i="15" s="1"/>
  <c r="Q58" i="15" a="1"/>
  <c r="Q58" i="15" s="1"/>
  <c r="Q60" i="15" a="1"/>
  <c r="Q60" i="15" s="1"/>
  <c r="Q66" i="15" a="1"/>
  <c r="Q66" i="15" s="1"/>
  <c r="Q22" i="4"/>
  <c r="P22" i="4"/>
  <c r="N22" i="4"/>
  <c r="Q21" i="4"/>
  <c r="O21" i="4"/>
  <c r="N21" i="4"/>
  <c r="R59" i="15" a="1"/>
  <c r="R59" i="15" s="1"/>
  <c r="R58" i="15" a="1"/>
  <c r="R58" i="15" s="1"/>
  <c r="R67" i="15" a="1"/>
  <c r="R67" i="15" s="1"/>
  <c r="R91" i="15" s="1"/>
  <c r="R61" i="15" a="1"/>
  <c r="R61" i="15" s="1"/>
  <c r="Q53" i="15" a="1"/>
  <c r="Q53" i="15" s="1"/>
  <c r="Q77" i="15" s="1"/>
  <c r="C92" i="3" s="1"/>
  <c r="Q52" i="15" a="1"/>
  <c r="Q52" i="15" s="1"/>
  <c r="Q104" i="15" s="1"/>
  <c r="I91" i="3" s="1"/>
  <c r="Q54" i="15" a="1"/>
  <c r="Q54" i="15" s="1"/>
  <c r="Q78" i="15" s="1"/>
  <c r="C93" i="3" s="1"/>
  <c r="R57" i="15" a="1"/>
  <c r="R57" i="15" s="1"/>
  <c r="R109" i="15" s="1"/>
  <c r="I106" i="3" s="1"/>
  <c r="R66" i="15" a="1"/>
  <c r="R66" i="15" s="1"/>
  <c r="R60" i="15" a="1"/>
  <c r="R60" i="15" s="1"/>
  <c r="R64" i="15" a="1"/>
  <c r="R64" i="15" s="1"/>
  <c r="R62" i="15" a="1"/>
  <c r="R62" i="15" s="1"/>
  <c r="R53" i="15" a="1"/>
  <c r="R53" i="15" s="1"/>
  <c r="R77" i="15" s="1"/>
  <c r="C102" i="3" s="1"/>
  <c r="R65" i="15" a="1"/>
  <c r="R65" i="15" s="1"/>
  <c r="R63" i="15" a="1"/>
  <c r="R63" i="15" s="1"/>
  <c r="R87" i="15" s="1"/>
  <c r="R56" i="15" a="1"/>
  <c r="R56" i="15" s="1"/>
  <c r="R80" i="15" s="1"/>
  <c r="C105" i="3" s="1"/>
  <c r="R55" i="15" a="1"/>
  <c r="R55" i="15" s="1"/>
  <c r="R107" i="15" s="1"/>
  <c r="I104" i="3" s="1"/>
  <c r="P53" i="15" a="1"/>
  <c r="P53" i="15" s="1"/>
  <c r="P105" i="15" s="1"/>
  <c r="I73" i="3" s="1"/>
  <c r="Q55" i="15" a="1"/>
  <c r="Q55" i="15" s="1"/>
  <c r="Q79" i="15" s="1"/>
  <c r="C94" i="3" s="1"/>
  <c r="P64" i="15" a="1"/>
  <c r="P64" i="15" s="1"/>
  <c r="P88" i="15" s="1"/>
  <c r="C84" i="3" s="1"/>
  <c r="P65" i="15" a="1"/>
  <c r="P65" i="15" s="1"/>
  <c r="P89" i="15" s="1"/>
  <c r="C85" i="3" s="1"/>
  <c r="P57" i="15" a="1"/>
  <c r="P57" i="15" s="1"/>
  <c r="P81" i="15" s="1"/>
  <c r="C77" i="3" s="1"/>
  <c r="P54" i="15" a="1"/>
  <c r="P54" i="15" s="1"/>
  <c r="P78" i="15" s="1"/>
  <c r="C74" i="3" s="1"/>
  <c r="P59" i="15" a="1"/>
  <c r="P59" i="15" s="1"/>
  <c r="P83" i="15" s="1"/>
  <c r="C79" i="3" s="1"/>
  <c r="P62" i="15" a="1"/>
  <c r="P62" i="15" s="1"/>
  <c r="P86" i="15" s="1"/>
  <c r="C82" i="3" s="1"/>
  <c r="P67" i="15" a="1"/>
  <c r="P67" i="15" s="1"/>
  <c r="P119" i="15" s="1"/>
  <c r="I87" i="3" s="1"/>
  <c r="P55" i="15" a="1"/>
  <c r="P55" i="15" s="1"/>
  <c r="P79" i="15" s="1"/>
  <c r="C75" i="3" s="1"/>
  <c r="P60" i="15" a="1"/>
  <c r="P60" i="15" s="1"/>
  <c r="P84" i="15" s="1"/>
  <c r="C80" i="3" s="1"/>
  <c r="P63" i="15" a="1"/>
  <c r="P63" i="15" s="1"/>
  <c r="P87" i="15" s="1"/>
  <c r="C83" i="3" s="1"/>
  <c r="P52" i="15" a="1"/>
  <c r="P52" i="15" s="1"/>
  <c r="P76" i="15" s="1"/>
  <c r="P56" i="15" a="1"/>
  <c r="P56" i="15" s="1"/>
  <c r="P80" i="15" s="1"/>
  <c r="C76" i="3" s="1"/>
  <c r="P58" i="15" a="1"/>
  <c r="P58" i="15" s="1"/>
  <c r="P82" i="15" s="1"/>
  <c r="C78" i="3" s="1"/>
  <c r="P61" i="15" a="1"/>
  <c r="P61" i="15" s="1"/>
  <c r="P113" i="15" s="1"/>
  <c r="I81" i="3" s="1"/>
  <c r="P66" i="15" a="1"/>
  <c r="P66" i="15" s="1"/>
  <c r="P118" i="15" s="1"/>
  <c r="I86" i="3" s="1"/>
  <c r="P23" i="4"/>
  <c r="Q23" i="4"/>
  <c r="N23" i="4"/>
  <c r="N19" i="4"/>
  <c r="Q19" i="4"/>
  <c r="O19" i="4"/>
  <c r="N24" i="4"/>
  <c r="Q24" i="4"/>
  <c r="P24" i="4"/>
  <c r="Q17" i="4"/>
  <c r="P17" i="4"/>
  <c r="O17" i="4"/>
  <c r="Q11" i="4"/>
  <c r="O11" i="4"/>
  <c r="P11" i="4"/>
  <c r="N10" i="4"/>
  <c r="P10" i="4"/>
  <c r="O10" i="4"/>
  <c r="Q10" i="4"/>
  <c r="O18" i="4"/>
  <c r="P18" i="4"/>
  <c r="N18" i="4"/>
  <c r="Q18" i="4"/>
  <c r="O13" i="4"/>
  <c r="Q13" i="4"/>
  <c r="N13" i="4"/>
  <c r="P13" i="4"/>
  <c r="Q12" i="4"/>
  <c r="N12" i="4"/>
  <c r="P12" i="4"/>
  <c r="O12" i="4"/>
  <c r="O9" i="4"/>
  <c r="Q9" i="4"/>
  <c r="N9" i="4"/>
  <c r="P9" i="4"/>
  <c r="N15" i="4"/>
  <c r="Q15" i="4"/>
  <c r="O15" i="4"/>
  <c r="P15" i="4"/>
  <c r="Q8" i="4"/>
  <c r="P8" i="4"/>
  <c r="O8" i="4"/>
  <c r="N8" i="4"/>
  <c r="N16" i="4"/>
  <c r="O16" i="4"/>
  <c r="P16" i="4"/>
  <c r="Q16" i="4"/>
  <c r="N14" i="4"/>
  <c r="O14" i="4"/>
  <c r="Q14" i="4"/>
  <c r="P14" i="4"/>
  <c r="O37" i="4" l="1" a="1"/>
  <c r="O37" i="4" s="1"/>
  <c r="O45" i="4" a="1"/>
  <c r="O45" i="4" s="1"/>
  <c r="O38" i="4" a="1"/>
  <c r="O38" i="4" s="1"/>
  <c r="O40" i="4" a="1"/>
  <c r="O40" i="4" s="1"/>
  <c r="O41" i="4" a="1"/>
  <c r="O41" i="4" s="1"/>
  <c r="O35" i="4" a="1"/>
  <c r="O35" i="4" s="1"/>
  <c r="O36" i="4" a="1"/>
  <c r="O36" i="4" s="1"/>
  <c r="O46" i="4" a="1"/>
  <c r="O46" i="4" s="1"/>
  <c r="O39" i="4" a="1"/>
  <c r="O39" i="4" s="1"/>
  <c r="O32" i="4" a="1"/>
  <c r="O32" i="4" s="1"/>
  <c r="O33" i="4" a="1"/>
  <c r="O33" i="4" s="1"/>
  <c r="O43" i="4" a="1"/>
  <c r="O43" i="4" s="1"/>
  <c r="O44" i="4" a="1"/>
  <c r="O44" i="4" s="1"/>
  <c r="O34" i="4" a="1"/>
  <c r="O34" i="4" s="1"/>
  <c r="O42" i="4" a="1"/>
  <c r="O42" i="4" s="1"/>
  <c r="P37" i="4" a="1"/>
  <c r="P37" i="4" s="1"/>
  <c r="P44" i="4" a="1"/>
  <c r="P44" i="4" s="1"/>
  <c r="P45" i="4" a="1"/>
  <c r="P45" i="4" s="1"/>
  <c r="P33" i="4" a="1"/>
  <c r="P33" i="4" s="1"/>
  <c r="P39" i="4" a="1"/>
  <c r="P39" i="4" s="1"/>
  <c r="P40" i="4" a="1"/>
  <c r="P40" i="4" s="1"/>
  <c r="P35" i="4" a="1"/>
  <c r="P35" i="4" s="1"/>
  <c r="P36" i="4" a="1"/>
  <c r="P36" i="4" s="1"/>
  <c r="P38" i="4" a="1"/>
  <c r="P38" i="4" s="1"/>
  <c r="P32" i="4" a="1"/>
  <c r="P32" i="4" s="1"/>
  <c r="P42" i="4" a="1"/>
  <c r="P42" i="4" s="1"/>
  <c r="P43" i="4" a="1"/>
  <c r="P43" i="4" s="1"/>
  <c r="P34" i="4" a="1"/>
  <c r="P34" i="4" s="1"/>
  <c r="P41" i="4" a="1"/>
  <c r="P41" i="4" s="1"/>
  <c r="Q33" i="4" a="1"/>
  <c r="Q33" i="4" s="1"/>
  <c r="Q37" i="4" a="1"/>
  <c r="Q37" i="4" s="1"/>
  <c r="Q41" i="4" a="1"/>
  <c r="Q41" i="4" s="1"/>
  <c r="Q46" i="4" a="1"/>
  <c r="Q46" i="4" s="1"/>
  <c r="Q40" i="4" a="1"/>
  <c r="Q40" i="4" s="1"/>
  <c r="Q42" i="4" a="1"/>
  <c r="Q42" i="4" s="1"/>
  <c r="Q34" i="4" a="1"/>
  <c r="Q34" i="4" s="1"/>
  <c r="Q38" i="4" a="1"/>
  <c r="Q38" i="4" s="1"/>
  <c r="Q32" i="4" a="1"/>
  <c r="Q32" i="4" s="1"/>
  <c r="Q35" i="4" a="1"/>
  <c r="Q35" i="4" s="1"/>
  <c r="Q43" i="4" a="1"/>
  <c r="Q43" i="4" s="1"/>
  <c r="Q39" i="4" a="1"/>
  <c r="Q39" i="4" s="1"/>
  <c r="Q36" i="4" a="1"/>
  <c r="Q36" i="4" s="1"/>
  <c r="Q45" i="4" a="1"/>
  <c r="Q45" i="4" s="1"/>
  <c r="Q44" i="4" a="1"/>
  <c r="Q44" i="4" s="1"/>
  <c r="P124" i="15"/>
  <c r="P96" i="15"/>
  <c r="P93" i="15"/>
  <c r="C89" i="3" s="1"/>
  <c r="P121" i="15"/>
  <c r="I89" i="3" s="1"/>
  <c r="P95" i="15"/>
  <c r="P123" i="15"/>
  <c r="P94" i="15"/>
  <c r="C90" i="3" s="1"/>
  <c r="P122" i="15"/>
  <c r="I90" i="3" s="1"/>
  <c r="R106" i="15"/>
  <c r="I103" i="3" s="1"/>
  <c r="R90" i="15"/>
  <c r="R114" i="15"/>
  <c r="R86" i="15"/>
  <c r="R85" i="15"/>
  <c r="C110" i="3" s="1"/>
  <c r="R82" i="15"/>
  <c r="C107" i="3" s="1"/>
  <c r="Q76" i="15"/>
  <c r="C91" i="3" s="1"/>
  <c r="R117" i="15"/>
  <c r="R89" i="15"/>
  <c r="R83" i="15"/>
  <c r="C108" i="3" s="1"/>
  <c r="P92" i="15"/>
  <c r="C88" i="3" s="1"/>
  <c r="R116" i="15"/>
  <c r="R88" i="15"/>
  <c r="R112" i="15"/>
  <c r="I109" i="3" s="1"/>
  <c r="R84" i="15"/>
  <c r="C109" i="3" s="1"/>
  <c r="Q85" i="15"/>
  <c r="C100" i="3" s="1"/>
  <c r="Q90" i="15"/>
  <c r="Q109" i="15"/>
  <c r="I96" i="3" s="1"/>
  <c r="Q81" i="15"/>
  <c r="C96" i="3" s="1"/>
  <c r="Q114" i="15"/>
  <c r="Q86" i="15"/>
  <c r="Q84" i="15"/>
  <c r="C99" i="3" s="1"/>
  <c r="Q116" i="15"/>
  <c r="Q88" i="15"/>
  <c r="Q110" i="15"/>
  <c r="I97" i="3" s="1"/>
  <c r="Q82" i="15"/>
  <c r="C97" i="3" s="1"/>
  <c r="Q111" i="15"/>
  <c r="I98" i="3" s="1"/>
  <c r="Q83" i="15"/>
  <c r="C98" i="3" s="1"/>
  <c r="P90" i="15"/>
  <c r="C86" i="3" s="1"/>
  <c r="P91" i="15"/>
  <c r="C87" i="3" s="1"/>
  <c r="Q117" i="15"/>
  <c r="Q115" i="15"/>
  <c r="R108" i="15"/>
  <c r="I105" i="3" s="1"/>
  <c r="R81" i="15"/>
  <c r="C106" i="3" s="1"/>
  <c r="R113" i="15"/>
  <c r="I110" i="3" s="1"/>
  <c r="Q80" i="15"/>
  <c r="C95" i="3" s="1"/>
  <c r="R111" i="15"/>
  <c r="I108" i="3" s="1"/>
  <c r="Q106" i="15"/>
  <c r="I93" i="3" s="1"/>
  <c r="Q105" i="15"/>
  <c r="I92" i="3" s="1"/>
  <c r="R105" i="15"/>
  <c r="I102" i="3" s="1"/>
  <c r="P107" i="15"/>
  <c r="I75" i="3" s="1"/>
  <c r="Q107" i="15"/>
  <c r="I94" i="3" s="1"/>
  <c r="R110" i="15"/>
  <c r="I107" i="3" s="1"/>
  <c r="Q113" i="15"/>
  <c r="I100" i="3" s="1"/>
  <c r="P77" i="15"/>
  <c r="C73" i="3" s="1"/>
  <c r="Q112" i="15"/>
  <c r="I99" i="3" s="1"/>
  <c r="R79" i="15"/>
  <c r="C104" i="3" s="1"/>
  <c r="R104" i="15"/>
  <c r="I101" i="3" s="1"/>
  <c r="R115" i="15"/>
  <c r="P116" i="15"/>
  <c r="I84" i="3" s="1"/>
  <c r="P106" i="15"/>
  <c r="I74" i="3" s="1"/>
  <c r="P108" i="15"/>
  <c r="I76" i="3" s="1"/>
  <c r="P85" i="15"/>
  <c r="C81" i="3" s="1"/>
  <c r="P109" i="15"/>
  <c r="I77" i="3" s="1"/>
  <c r="P104" i="15"/>
  <c r="I72" i="3" s="1"/>
  <c r="P115" i="15"/>
  <c r="I83" i="3" s="1"/>
  <c r="P114" i="15"/>
  <c r="I82" i="3" s="1"/>
  <c r="P117" i="15"/>
  <c r="I85" i="3" s="1"/>
  <c r="P111" i="15"/>
  <c r="I79" i="3" s="1"/>
  <c r="P112" i="15"/>
  <c r="I80" i="3" s="1"/>
  <c r="P110" i="15"/>
  <c r="I78" i="3" s="1"/>
  <c r="C72" i="3"/>
  <c r="P46" i="4" a="1"/>
  <c r="P46" i="4" s="1"/>
  <c r="Q47" i="4" a="1"/>
  <c r="Q47" i="4" s="1"/>
  <c r="Q56" i="4" l="1"/>
  <c r="C41" i="3" s="1"/>
  <c r="Q71" i="4"/>
  <c r="I41" i="3" s="1"/>
  <c r="Q49" i="4"/>
  <c r="C34" i="3" s="1"/>
  <c r="Q64" i="4"/>
  <c r="I34" i="3" s="1"/>
  <c r="P51" i="4"/>
  <c r="C28" i="3" s="1"/>
  <c r="P66" i="4"/>
  <c r="I28" i="3" s="1"/>
  <c r="P70" i="4"/>
  <c r="I32" i="3" s="1"/>
  <c r="P55" i="4"/>
  <c r="C32" i="3" s="1"/>
  <c r="P49" i="4"/>
  <c r="C26" i="3" s="1"/>
  <c r="P64" i="4"/>
  <c r="I26" i="3" s="1"/>
  <c r="O75" i="4"/>
  <c r="O60" i="4"/>
  <c r="O67" i="4"/>
  <c r="I20" i="3" s="1"/>
  <c r="O52" i="4"/>
  <c r="C20" i="3" s="1"/>
  <c r="O58" i="4"/>
  <c r="O73" i="4"/>
  <c r="Q69" i="4"/>
  <c r="I39" i="3" s="1"/>
  <c r="Q54" i="4"/>
  <c r="C39" i="3" s="1"/>
  <c r="Q65" i="4"/>
  <c r="I35" i="3" s="1"/>
  <c r="Q50" i="4"/>
  <c r="C35" i="3" s="1"/>
  <c r="P67" i="4"/>
  <c r="I29" i="3" s="1"/>
  <c r="P52" i="4"/>
  <c r="C29" i="3" s="1"/>
  <c r="P71" i="4"/>
  <c r="I33" i="3" s="1"/>
  <c r="P56" i="4"/>
  <c r="C33" i="3" s="1"/>
  <c r="P59" i="4"/>
  <c r="P74" i="4"/>
  <c r="O72" i="4"/>
  <c r="I25" i="3" s="1"/>
  <c r="O57" i="4"/>
  <c r="C25" i="3" s="1"/>
  <c r="O68" i="4"/>
  <c r="I21" i="3" s="1"/>
  <c r="O53" i="4"/>
  <c r="C21" i="3" s="1"/>
  <c r="Q67" i="4"/>
  <c r="I37" i="3" s="1"/>
  <c r="Q52" i="4"/>
  <c r="C37" i="3" s="1"/>
  <c r="Q74" i="4"/>
  <c r="Q59" i="4"/>
  <c r="Q60" i="4"/>
  <c r="Q75" i="4"/>
  <c r="Q58" i="4"/>
  <c r="Q73" i="4"/>
  <c r="P72" i="4"/>
  <c r="P57" i="4"/>
  <c r="P53" i="4"/>
  <c r="C30" i="3" s="1"/>
  <c r="P68" i="4"/>
  <c r="I30" i="3" s="1"/>
  <c r="P69" i="4"/>
  <c r="I31" i="3" s="1"/>
  <c r="P54" i="4"/>
  <c r="C31" i="3" s="1"/>
  <c r="P58" i="4"/>
  <c r="P73" i="4"/>
  <c r="O71" i="4"/>
  <c r="I24" i="3" s="1"/>
  <c r="O56" i="4"/>
  <c r="C24" i="3" s="1"/>
  <c r="O70" i="4"/>
  <c r="I23" i="3" s="1"/>
  <c r="O55" i="4"/>
  <c r="C23" i="3" s="1"/>
  <c r="O50" i="4"/>
  <c r="C18" i="3" s="1"/>
  <c r="O65" i="4"/>
  <c r="I18" i="3" s="1"/>
  <c r="Q55" i="4"/>
  <c r="C40" i="3" s="1"/>
  <c r="Q70" i="4"/>
  <c r="I40" i="3" s="1"/>
  <c r="Q66" i="4"/>
  <c r="I36" i="3" s="1"/>
  <c r="Q51" i="4"/>
  <c r="C36" i="3" s="1"/>
  <c r="Q57" i="4"/>
  <c r="C42" i="3" s="1"/>
  <c r="Q72" i="4"/>
  <c r="Q68" i="4"/>
  <c r="I38" i="3" s="1"/>
  <c r="Q53" i="4"/>
  <c r="C38" i="3" s="1"/>
  <c r="P65" i="4"/>
  <c r="I27" i="3" s="1"/>
  <c r="P50" i="4"/>
  <c r="C27" i="3" s="1"/>
  <c r="P60" i="4"/>
  <c r="P75" i="4"/>
  <c r="O51" i="4"/>
  <c r="C19" i="3" s="1"/>
  <c r="O66" i="4"/>
  <c r="I19" i="3" s="1"/>
  <c r="O74" i="4"/>
  <c r="O59" i="4"/>
  <c r="O69" i="4"/>
  <c r="I22" i="3" s="1"/>
  <c r="O54" i="4"/>
  <c r="C22" i="3" s="1"/>
  <c r="O49" i="4"/>
  <c r="C17" i="3" s="1"/>
  <c r="O64" i="4"/>
  <c r="I17" i="3" s="1"/>
</calcChain>
</file>

<file path=xl/sharedStrings.xml><?xml version="1.0" encoding="utf-8"?>
<sst xmlns="http://schemas.openxmlformats.org/spreadsheetml/2006/main" count="1546" uniqueCount="127">
  <si>
    <t>Frame</t>
  </si>
  <si>
    <t>Stack</t>
  </si>
  <si>
    <t>Reach</t>
  </si>
  <si>
    <t>XS</t>
  </si>
  <si>
    <t>S</t>
  </si>
  <si>
    <t>M</t>
  </si>
  <si>
    <t>L</t>
  </si>
  <si>
    <t>XL</t>
  </si>
  <si>
    <t>Stack and Reach from BB</t>
  </si>
  <si>
    <t>MODIFIERS</t>
  </si>
  <si>
    <t>Base</t>
  </si>
  <si>
    <t xml:space="preserve"> </t>
  </si>
  <si>
    <t>Frame Size</t>
  </si>
  <si>
    <t>Input</t>
  </si>
  <si>
    <t>Simplified</t>
  </si>
  <si>
    <t>Reach Min</t>
  </si>
  <si>
    <t>Reach Max</t>
  </si>
  <si>
    <t>Total</t>
  </si>
  <si>
    <t>Reccomended</t>
  </si>
  <si>
    <t>Reach Check</t>
  </si>
  <si>
    <t>Reach Range</t>
  </si>
  <si>
    <t>Min</t>
  </si>
  <si>
    <t>Max</t>
  </si>
  <si>
    <t>output</t>
  </si>
  <si>
    <t>Grades of reccommendation</t>
  </si>
  <si>
    <t>A</t>
  </si>
  <si>
    <t>B</t>
  </si>
  <si>
    <t>C</t>
  </si>
  <si>
    <t>No spaces</t>
  </si>
  <si>
    <t>31.8 Reach Range</t>
  </si>
  <si>
    <t>Append Reach Adjustment</t>
  </si>
  <si>
    <t>Reach Adjustment</t>
  </si>
  <si>
    <t>Neutral Reach</t>
  </si>
  <si>
    <t>Neutral Integrated</t>
  </si>
  <si>
    <t>Neutral 31.8</t>
  </si>
  <si>
    <t>Integrated</t>
  </si>
  <si>
    <t>With Reach Adjustment</t>
  </si>
  <si>
    <t>Best Options</t>
  </si>
  <si>
    <t>Seatpost Limitation above geo toptube</t>
  </si>
  <si>
    <t>Above top tube</t>
  </si>
  <si>
    <t>Seatheight Range</t>
  </si>
  <si>
    <t>max</t>
  </si>
  <si>
    <t>min</t>
  </si>
  <si>
    <t xml:space="preserve">Seatheight </t>
  </si>
  <si>
    <t>check</t>
  </si>
  <si>
    <t>seat height check</t>
  </si>
  <si>
    <r>
      <t>Aerobar:</t>
    </r>
    <r>
      <rPr>
        <sz val="11"/>
        <color theme="1"/>
        <rFont val="Calibri"/>
        <family val="2"/>
        <scheme val="minor"/>
      </rPr>
      <t xml:space="preserve"> spacer configuration needed to achieve required stack. </t>
    </r>
  </si>
  <si>
    <t>Stem Bolts:</t>
  </si>
  <si>
    <t>Aerobar Bolts:</t>
  </si>
  <si>
    <t>Top</t>
  </si>
  <si>
    <t>Bottom</t>
  </si>
  <si>
    <t>&gt;</t>
  </si>
  <si>
    <t>Hardware</t>
  </si>
  <si>
    <t>Setback</t>
  </si>
  <si>
    <t>Setback Check</t>
  </si>
  <si>
    <t>SeatTube Angle</t>
  </si>
  <si>
    <t>Saddle Dimensions</t>
  </si>
  <si>
    <t>ISM Attack</t>
  </si>
  <si>
    <t>setback check</t>
  </si>
  <si>
    <t>check reach, saddle height and setback</t>
  </si>
  <si>
    <t>Stems</t>
  </si>
  <si>
    <t>70x30</t>
  </si>
  <si>
    <t>70x60</t>
  </si>
  <si>
    <t>100x30</t>
  </si>
  <si>
    <t>100x60</t>
  </si>
  <si>
    <t>Aerobar</t>
  </si>
  <si>
    <t>Neutral Alloy 31.8</t>
  </si>
  <si>
    <t>Neutral 31.8 Alloy</t>
  </si>
  <si>
    <t>Neutral 31.8 alloy</t>
  </si>
  <si>
    <t>31.8 alloy</t>
  </si>
  <si>
    <t>Neutral</t>
  </si>
  <si>
    <t>Cockpit Reach offset</t>
  </si>
  <si>
    <t>Cockpit Reach Limits</t>
  </si>
  <si>
    <t>Limit Min</t>
  </si>
  <si>
    <t>Limit Max</t>
  </si>
  <si>
    <t>Reach Rang</t>
  </si>
  <si>
    <t>Neutral Rounded</t>
  </si>
  <si>
    <t>90x0</t>
  </si>
  <si>
    <t>110x0</t>
  </si>
  <si>
    <t>Nutral Rounded</t>
  </si>
  <si>
    <t>Neutral Min</t>
  </si>
  <si>
    <t>Nutral Max</t>
  </si>
  <si>
    <t>Reach Neutral</t>
  </si>
  <si>
    <t>setback</t>
  </si>
  <si>
    <t>seatheight</t>
  </si>
  <si>
    <t>neutral</t>
  </si>
  <si>
    <t>bolts</t>
  </si>
  <si>
    <t>DA</t>
  </si>
  <si>
    <t>Great Options</t>
  </si>
  <si>
    <t>User Input Information</t>
  </si>
  <si>
    <t>Results Output Information</t>
  </si>
  <si>
    <t>Stem: Integrated ----- Aerobar:</t>
  </si>
  <si>
    <t xml:space="preserve">Stem: Integrated w/30 ----- Aerobar: </t>
  </si>
  <si>
    <t xml:space="preserve">Stem: 31.8 ----- Carbon Aerobar: </t>
  </si>
  <si>
    <t xml:space="preserve">Stem: 31.8 ----- Alloy Aerobar: </t>
  </si>
  <si>
    <t xml:space="preserve">Stem: Integrated w/15 ----- Aerobar: </t>
  </si>
  <si>
    <t xml:space="preserve"> t   </t>
  </si>
  <si>
    <t>Frame: 58</t>
  </si>
  <si>
    <t>Frame: 56</t>
  </si>
  <si>
    <t>Frame: 54</t>
  </si>
  <si>
    <t>Frame: 51</t>
  </si>
  <si>
    <t>Frame: 47</t>
  </si>
  <si>
    <t>N/A</t>
  </si>
  <si>
    <t>OK Options</t>
  </si>
  <si>
    <t>Recommendations: Frame ----- Stem ----- Aerobar</t>
  </si>
  <si>
    <t>User Inputs</t>
  </si>
  <si>
    <t>Seat Height (mm)</t>
  </si>
  <si>
    <r>
      <rPr>
        <b/>
        <sz val="11"/>
        <color theme="1"/>
        <rFont val="Calibri"/>
        <family val="2"/>
        <scheme val="minor"/>
      </rPr>
      <t xml:space="preserve">Frame: </t>
    </r>
    <r>
      <rPr>
        <sz val="11"/>
        <color theme="1"/>
        <rFont val="Calibri"/>
        <family val="2"/>
        <scheme val="minor"/>
      </rPr>
      <t>frame size.</t>
    </r>
  </si>
  <si>
    <r>
      <rPr>
        <b/>
        <sz val="11"/>
        <color theme="1"/>
        <rFont val="Calibri"/>
        <family val="2"/>
        <scheme val="minor"/>
      </rPr>
      <t xml:space="preserve">Stem: </t>
    </r>
    <r>
      <rPr>
        <sz val="11"/>
        <color theme="1"/>
        <rFont val="Calibri"/>
        <family val="2"/>
        <scheme val="minor"/>
      </rPr>
      <t>4 stem options for IA (Integrated with 3 stack options and 31.8 compatible).  6 stem options for DA.</t>
    </r>
  </si>
  <si>
    <r>
      <rPr>
        <b/>
        <sz val="11"/>
        <color theme="1"/>
        <rFont val="Calibri"/>
        <family val="2"/>
        <scheme val="minor"/>
      </rPr>
      <t xml:space="preserve">Armrest Reach: </t>
    </r>
    <r>
      <rPr>
        <sz val="11"/>
        <color theme="1"/>
        <rFont val="Calibri"/>
        <family val="2"/>
        <scheme val="minor"/>
      </rPr>
      <t>armrest location from neutral point.  Neutral is defined as armrest bracket located behind the extension bracket and armrest in forward position on the armrest bracket.</t>
    </r>
  </si>
  <si>
    <t>Positive values means move the armrest forward from neutral, negative- move back.  To achieve positive values you may have to move the armrest bracket in front of the extension bracket.</t>
  </si>
  <si>
    <r>
      <rPr>
        <b/>
        <sz val="11"/>
        <color theme="1"/>
        <rFont val="Calibri"/>
        <family val="2"/>
        <scheme val="minor"/>
      </rPr>
      <t>Pad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Reach:</t>
    </r>
    <r>
      <rPr>
        <sz val="11"/>
        <color theme="1"/>
        <rFont val="Calibri"/>
        <family val="2"/>
        <scheme val="minor"/>
      </rPr>
      <t xml:space="preserve"> horizontal distance from the center of the BB to the center of the armrest.</t>
    </r>
  </si>
  <si>
    <r>
      <t xml:space="preserve">Pad Stack: </t>
    </r>
    <r>
      <rPr>
        <sz val="11"/>
        <color theme="1"/>
        <rFont val="Calibri"/>
        <family val="2"/>
        <scheme val="minor"/>
      </rPr>
      <t>vertical distance form the center of the BB to the top of the armrest. Not including armpad.</t>
    </r>
  </si>
  <si>
    <t>Pad Reach (mm)</t>
  </si>
  <si>
    <t>Pad Stack (mm)</t>
  </si>
  <si>
    <t>Frame: 48</t>
  </si>
  <si>
    <t>Carbon Aerobar</t>
  </si>
  <si>
    <t>Aluminium Aerobar</t>
  </si>
  <si>
    <t xml:space="preserve">Stem: Integrated ----- Alloy Aerobar: </t>
  </si>
  <si>
    <t xml:space="preserve">Stem: Integrated ----- Carbon Aerobar (optional): </t>
  </si>
  <si>
    <t>Pad Stack</t>
  </si>
  <si>
    <t>Alloy Aerobar</t>
  </si>
  <si>
    <t>Nearest Size + 10mm</t>
  </si>
  <si>
    <t>Nearest size - 10mm</t>
  </si>
  <si>
    <t>Without Spaces</t>
  </si>
  <si>
    <t>IAx</t>
  </si>
  <si>
    <t>IA / IA Disc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</si>
</sst>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Alignment="1">
      <alignment horizontal="left"/>
    </xf>
    <xf numFmtId="0" fontId="0" fillId="3" borderId="0" xfId="0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0" xfId="0" applyFont="1" applyFill="1"/>
    <xf numFmtId="0" fontId="1" fillId="0" borderId="0" xfId="0" applyFont="1" applyAlignment="1">
      <alignment horizontal="left"/>
    </xf>
    <xf numFmtId="0" fontId="0" fillId="0" borderId="0" xfId="0" applyFill="1"/>
    <xf numFmtId="0" fontId="1" fillId="0" borderId="0" xfId="0" applyFont="1" applyFill="1"/>
    <xf numFmtId="0" fontId="0" fillId="0" borderId="0" xfId="0" applyFill="1" applyAlignment="1">
      <alignment horizontal="right"/>
    </xf>
    <xf numFmtId="0" fontId="0" fillId="0" borderId="6" xfId="0" applyBorder="1" applyProtection="1"/>
    <xf numFmtId="0" fontId="0" fillId="0" borderId="0" xfId="0" applyProtection="1"/>
    <xf numFmtId="0" fontId="0" fillId="0" borderId="0" xfId="0" applyBorder="1" applyProtection="1"/>
    <xf numFmtId="0" fontId="1" fillId="0" borderId="0" xfId="0" applyFont="1" applyBorder="1" applyProtection="1"/>
    <xf numFmtId="0" fontId="0" fillId="0" borderId="0" xfId="0" applyBorder="1" applyAlignment="1" applyProtection="1"/>
    <xf numFmtId="0" fontId="1" fillId="0" borderId="0" xfId="0" applyFont="1" applyBorder="1" applyAlignment="1" applyProtection="1">
      <alignment horizontal="center" vertical="center" textRotation="90" wrapText="1"/>
    </xf>
    <xf numFmtId="0" fontId="1" fillId="0" borderId="0" xfId="0" applyFont="1" applyBorder="1" applyAlignment="1" applyProtection="1">
      <alignment vertical="center" wrapText="1"/>
    </xf>
    <xf numFmtId="0" fontId="1" fillId="0" borderId="1" xfId="0" applyFont="1" applyBorder="1" applyAlignment="1" applyProtection="1"/>
    <xf numFmtId="0" fontId="1" fillId="0" borderId="2" xfId="0" applyFont="1" applyBorder="1" applyAlignment="1" applyProtection="1"/>
    <xf numFmtId="0" fontId="4" fillId="0" borderId="3" xfId="0" applyFont="1" applyBorder="1" applyProtection="1"/>
    <xf numFmtId="0" fontId="5" fillId="0" borderId="5" xfId="0" applyFont="1" applyBorder="1" applyAlignment="1" applyProtection="1">
      <alignment horizontal="left" vertical="center" wrapText="1"/>
    </xf>
    <xf numFmtId="0" fontId="1" fillId="0" borderId="0" xfId="0" applyFont="1" applyBorder="1" applyAlignment="1" applyProtection="1"/>
    <xf numFmtId="0" fontId="0" fillId="0" borderId="7" xfId="0" applyBorder="1" applyProtection="1"/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0" fillId="0" borderId="11" xfId="0" applyBorder="1" applyAlignment="1" applyProtection="1"/>
    <xf numFmtId="0" fontId="0" fillId="0" borderId="0" xfId="0" applyBorder="1" applyAlignment="1" applyProtection="1"/>
    <xf numFmtId="0" fontId="0" fillId="0" borderId="7" xfId="0" applyBorder="1" applyAlignment="1" applyProtection="1"/>
    <xf numFmtId="0" fontId="0" fillId="0" borderId="12" xfId="0" applyBorder="1" applyAlignment="1" applyProtection="1"/>
    <xf numFmtId="0" fontId="0" fillId="0" borderId="13" xfId="0" applyBorder="1" applyAlignment="1" applyProtection="1"/>
    <xf numFmtId="0" fontId="0" fillId="0" borderId="8" xfId="0" applyBorder="1" applyAlignment="1" applyProtection="1"/>
    <xf numFmtId="0" fontId="0" fillId="0" borderId="13" xfId="0" applyBorder="1" applyAlignment="1" applyProtection="1">
      <alignment vertical="top"/>
    </xf>
    <xf numFmtId="0" fontId="0" fillId="0" borderId="8" xfId="0" applyBorder="1" applyAlignment="1" applyProtection="1">
      <alignment vertical="top"/>
    </xf>
    <xf numFmtId="0" fontId="0" fillId="0" borderId="10" xfId="0" applyBorder="1" applyAlignment="1" applyProtection="1">
      <alignment vertical="top"/>
    </xf>
    <xf numFmtId="0" fontId="0" fillId="0" borderId="6" xfId="0" applyBorder="1" applyAlignment="1" applyProtection="1">
      <alignment vertical="top"/>
    </xf>
    <xf numFmtId="0" fontId="0" fillId="0" borderId="9" xfId="0" applyBorder="1" applyAlignment="1" applyProtection="1">
      <alignment horizontal="left"/>
    </xf>
    <xf numFmtId="0" fontId="0" fillId="0" borderId="10" xfId="0" applyBorder="1" applyAlignment="1" applyProtection="1">
      <alignment horizontal="left"/>
    </xf>
    <xf numFmtId="0" fontId="0" fillId="0" borderId="6" xfId="0" applyBorder="1" applyAlignment="1" applyProtection="1">
      <alignment horizontal="left"/>
    </xf>
    <xf numFmtId="0" fontId="0" fillId="0" borderId="11" xfId="0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7" xfId="0" applyBorder="1" applyAlignment="1" applyProtection="1">
      <alignment horizontal="left"/>
    </xf>
    <xf numFmtId="0" fontId="5" fillId="0" borderId="9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/>
    </xf>
    <xf numFmtId="0" fontId="0" fillId="0" borderId="9" xfId="0" applyBorder="1" applyAlignment="1" applyProtection="1"/>
    <xf numFmtId="0" fontId="0" fillId="0" borderId="10" xfId="0" applyBorder="1" applyAlignment="1" applyProtection="1"/>
    <xf numFmtId="0" fontId="0" fillId="0" borderId="6" xfId="0" applyBorder="1" applyAlignment="1" applyProtection="1"/>
    <xf numFmtId="0" fontId="0" fillId="0" borderId="9" xfId="0" applyBorder="1" applyAlignment="1" applyProtection="1">
      <alignment vertical="top"/>
    </xf>
    <xf numFmtId="0" fontId="0" fillId="0" borderId="10" xfId="0" applyBorder="1" applyAlignment="1" applyProtection="1">
      <alignment vertical="top"/>
    </xf>
    <xf numFmtId="0" fontId="0" fillId="0" borderId="6" xfId="0" applyBorder="1" applyAlignment="1" applyProtection="1">
      <alignment vertical="top"/>
    </xf>
    <xf numFmtId="0" fontId="0" fillId="0" borderId="11" xfId="0" applyBorder="1" applyAlignment="1" applyProtection="1"/>
    <xf numFmtId="0" fontId="0" fillId="0" borderId="0" xfId="0" applyBorder="1" applyAlignment="1" applyProtection="1"/>
    <xf numFmtId="0" fontId="0" fillId="0" borderId="7" xfId="0" applyBorder="1" applyAlignment="1" applyProtection="1"/>
    <xf numFmtId="0" fontId="0" fillId="0" borderId="11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0" fillId="0" borderId="12" xfId="0" applyBorder="1" applyAlignment="1" applyProtection="1"/>
    <xf numFmtId="0" fontId="0" fillId="0" borderId="13" xfId="0" applyBorder="1" applyAlignment="1" applyProtection="1"/>
    <xf numFmtId="0" fontId="0" fillId="0" borderId="8" xfId="0" applyBorder="1" applyAlignment="1" applyProtection="1"/>
    <xf numFmtId="0" fontId="0" fillId="0" borderId="12" xfId="0" applyBorder="1" applyAlignment="1" applyProtection="1">
      <alignment vertical="top"/>
    </xf>
    <xf numFmtId="0" fontId="0" fillId="0" borderId="13" xfId="0" applyBorder="1" applyAlignment="1" applyProtection="1">
      <alignment vertical="top"/>
    </xf>
    <xf numFmtId="0" fontId="0" fillId="0" borderId="8" xfId="0" applyBorder="1" applyAlignment="1" applyProtection="1">
      <alignment vertical="top"/>
    </xf>
    <xf numFmtId="0" fontId="5" fillId="0" borderId="14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0" fillId="0" borderId="9" xfId="0" applyNumberFormat="1" applyBorder="1" applyAlignment="1" applyProtection="1"/>
    <xf numFmtId="0" fontId="0" fillId="0" borderId="10" xfId="0" applyNumberFormat="1" applyBorder="1" applyAlignment="1" applyProtection="1"/>
    <xf numFmtId="0" fontId="0" fillId="0" borderId="6" xfId="0" applyNumberFormat="1" applyBorder="1" applyAlignment="1" applyProtection="1"/>
    <xf numFmtId="0" fontId="0" fillId="0" borderId="11" xfId="0" applyNumberFormat="1" applyBorder="1" applyAlignment="1" applyProtection="1"/>
    <xf numFmtId="0" fontId="0" fillId="0" borderId="0" xfId="0" applyNumberFormat="1" applyBorder="1" applyAlignment="1" applyProtection="1"/>
    <xf numFmtId="0" fontId="0" fillId="0" borderId="7" xfId="0" applyNumberFormat="1" applyBorder="1" applyAlignment="1" applyProtection="1"/>
    <xf numFmtId="0" fontId="0" fillId="0" borderId="12" xfId="0" applyNumberFormat="1" applyBorder="1" applyAlignment="1" applyProtection="1"/>
    <xf numFmtId="0" fontId="0" fillId="0" borderId="13" xfId="0" applyNumberFormat="1" applyBorder="1" applyAlignment="1" applyProtection="1"/>
    <xf numFmtId="0" fontId="0" fillId="0" borderId="8" xfId="0" applyNumberFormat="1" applyBorder="1" applyAlignment="1" applyProtection="1"/>
    <xf numFmtId="0" fontId="1" fillId="0" borderId="14" xfId="0" applyFont="1" applyBorder="1" applyAlignment="1" applyProtection="1"/>
    <xf numFmtId="0" fontId="5" fillId="0" borderId="14" xfId="0" applyFont="1" applyBorder="1" applyAlignment="1" applyProtection="1">
      <alignment vertical="center" wrapText="1"/>
    </xf>
    <xf numFmtId="0" fontId="5" fillId="0" borderId="4" xfId="0" applyFont="1" applyBorder="1" applyAlignment="1" applyProtection="1">
      <alignment vertical="center" wrapText="1"/>
    </xf>
    <xf numFmtId="0" fontId="5" fillId="0" borderId="5" xfId="0" applyFont="1" applyBorder="1" applyAlignment="1" applyProtection="1">
      <alignment vertical="center" wrapText="1"/>
    </xf>
    <xf numFmtId="0" fontId="1" fillId="0" borderId="11" xfId="0" applyFont="1" applyBorder="1" applyAlignment="1" applyProtection="1"/>
    <xf numFmtId="0" fontId="1" fillId="0" borderId="0" xfId="0" applyFont="1" applyBorder="1" applyAlignment="1" applyProtection="1"/>
    <xf numFmtId="0" fontId="1" fillId="0" borderId="7" xfId="0" applyFont="1" applyBorder="1" applyAlignment="1" applyProtection="1"/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0" fillId="0" borderId="12" xfId="0" applyBorder="1" applyAlignment="1" applyProtection="1">
      <alignment horizontal="left"/>
    </xf>
    <xf numFmtId="0" fontId="0" fillId="0" borderId="13" xfId="0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1" fillId="0" borderId="3" xfId="0" applyFont="1" applyBorder="1" applyAlignment="1" applyProtection="1"/>
    <xf numFmtId="0" fontId="5" fillId="0" borderId="3" xfId="0" applyFont="1" applyBorder="1" applyAlignment="1" applyProtection="1">
      <alignment horizontal="left" vertical="center" wrapText="1"/>
    </xf>
    <xf numFmtId="0" fontId="5" fillId="0" borderId="14" xfId="0" applyFont="1" applyBorder="1" applyAlignment="1" applyProtection="1">
      <alignment horizontal="left" vertical="center" wrapText="1"/>
    </xf>
  </cellXfs>
  <cellStyles count="1">
    <cellStyle name="Normal" xfId="0" builtinId="0"/>
  </cellStyles>
  <dxfs count="440"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  <pageSetUpPr fitToPage="1"/>
  </sheetPr>
  <dimension ref="A1:N113"/>
  <sheetViews>
    <sheetView showGridLines="0" tabSelected="1" zoomScale="70" zoomScaleNormal="70" workbookViewId="0">
      <selection activeCell="C12" sqref="C12:D14"/>
    </sheetView>
  </sheetViews>
  <sheetFormatPr defaultColWidth="0" defaultRowHeight="15" zeroHeight="1" x14ac:dyDescent="0.25"/>
  <cols>
    <col min="1" max="1" width="1.7109375" style="15" customWidth="1"/>
    <col min="2" max="2" width="17" style="15" customWidth="1"/>
    <col min="3" max="13" width="15.7109375" style="15" customWidth="1"/>
    <col min="14" max="14" width="2.7109375" style="15" customWidth="1"/>
    <col min="15" max="16384" width="9.140625" style="15" hidden="1"/>
  </cols>
  <sheetData>
    <row r="1" spans="2:13" x14ac:dyDescent="0.25"/>
    <row r="2" spans="2:13" x14ac:dyDescent="0.25">
      <c r="B2" s="97" t="s">
        <v>89</v>
      </c>
      <c r="C2" s="48" t="s">
        <v>111</v>
      </c>
      <c r="D2" s="49"/>
      <c r="E2" s="49"/>
      <c r="F2" s="49"/>
      <c r="G2" s="49"/>
      <c r="H2" s="49"/>
      <c r="I2" s="49"/>
      <c r="J2" s="49"/>
      <c r="K2" s="49"/>
      <c r="L2" s="49"/>
      <c r="M2" s="14"/>
    </row>
    <row r="3" spans="2:13" x14ac:dyDescent="0.25">
      <c r="B3" s="97"/>
      <c r="C3" s="82" t="s">
        <v>112</v>
      </c>
      <c r="D3" s="83"/>
      <c r="E3" s="83"/>
      <c r="F3" s="83"/>
      <c r="G3" s="83"/>
      <c r="H3" s="83"/>
      <c r="I3" s="83"/>
      <c r="J3" s="83"/>
      <c r="K3" s="83"/>
      <c r="L3" s="83"/>
      <c r="M3" s="84"/>
    </row>
    <row r="4" spans="2:13" x14ac:dyDescent="0.25">
      <c r="B4" s="97"/>
      <c r="M4" s="26"/>
    </row>
    <row r="5" spans="2:13" x14ac:dyDescent="0.25">
      <c r="B5" s="97" t="s">
        <v>90</v>
      </c>
      <c r="C5" s="48" t="s">
        <v>107</v>
      </c>
      <c r="D5" s="49"/>
      <c r="E5" s="49"/>
      <c r="F5" s="49"/>
      <c r="G5" s="49"/>
      <c r="H5" s="49"/>
      <c r="I5" s="49"/>
      <c r="J5" s="49"/>
      <c r="K5" s="49"/>
      <c r="L5" s="49"/>
      <c r="M5" s="50"/>
    </row>
    <row r="6" spans="2:13" x14ac:dyDescent="0.25">
      <c r="B6" s="97"/>
      <c r="C6" s="54" t="s">
        <v>108</v>
      </c>
      <c r="D6" s="55"/>
      <c r="E6" s="55"/>
      <c r="F6" s="55"/>
      <c r="G6" s="55"/>
      <c r="H6" s="55"/>
      <c r="I6" s="55"/>
      <c r="J6" s="55"/>
      <c r="K6" s="55"/>
      <c r="L6" s="55"/>
      <c r="M6" s="56"/>
    </row>
    <row r="7" spans="2:13" x14ac:dyDescent="0.25">
      <c r="B7" s="97"/>
      <c r="C7" s="82" t="s">
        <v>46</v>
      </c>
      <c r="D7" s="83"/>
      <c r="E7" s="83"/>
      <c r="F7" s="83"/>
      <c r="G7" s="83"/>
      <c r="H7" s="83"/>
      <c r="I7" s="83"/>
      <c r="J7" s="83"/>
      <c r="K7" s="83"/>
      <c r="L7" s="83"/>
      <c r="M7" s="84"/>
    </row>
    <row r="8" spans="2:13" x14ac:dyDescent="0.25">
      <c r="B8" s="98"/>
      <c r="C8" s="54" t="s">
        <v>109</v>
      </c>
      <c r="D8" s="55"/>
      <c r="E8" s="55"/>
      <c r="F8" s="55"/>
      <c r="G8" s="55"/>
      <c r="H8" s="55"/>
      <c r="I8" s="55"/>
      <c r="J8" s="55"/>
      <c r="K8" s="55"/>
      <c r="L8" s="55"/>
      <c r="M8" s="56"/>
    </row>
    <row r="9" spans="2:13" ht="15.75" x14ac:dyDescent="0.25">
      <c r="B9" s="24"/>
      <c r="C9" s="93" t="s">
        <v>110</v>
      </c>
      <c r="D9" s="94"/>
      <c r="E9" s="94"/>
      <c r="F9" s="94"/>
      <c r="G9" s="94"/>
      <c r="H9" s="94"/>
      <c r="I9" s="94"/>
      <c r="J9" s="94"/>
      <c r="K9" s="94"/>
      <c r="L9" s="94"/>
      <c r="M9" s="95"/>
    </row>
    <row r="10" spans="2:13" x14ac:dyDescent="0.25">
      <c r="B10" s="19"/>
      <c r="K10" s="18"/>
      <c r="L10" s="18"/>
      <c r="M10" s="18"/>
    </row>
    <row r="11" spans="2:13" ht="15" customHeight="1" x14ac:dyDescent="0.25">
      <c r="B11" s="79" t="s">
        <v>105</v>
      </c>
      <c r="C11" s="21" t="s">
        <v>113</v>
      </c>
      <c r="D11" s="22"/>
      <c r="E11" s="91" t="s">
        <v>114</v>
      </c>
      <c r="F11" s="92"/>
      <c r="G11" s="91" t="s">
        <v>106</v>
      </c>
      <c r="H11" s="92"/>
      <c r="M11" s="17"/>
    </row>
    <row r="12" spans="2:13" ht="15" customHeight="1" x14ac:dyDescent="0.25">
      <c r="B12" s="80"/>
      <c r="C12" s="85">
        <v>470</v>
      </c>
      <c r="D12" s="86"/>
      <c r="E12" s="85">
        <v>590</v>
      </c>
      <c r="F12" s="86"/>
      <c r="G12" s="85">
        <v>720</v>
      </c>
      <c r="H12" s="86"/>
      <c r="M12" s="25"/>
    </row>
    <row r="13" spans="2:13" ht="15" customHeight="1" x14ac:dyDescent="0.25">
      <c r="B13" s="80"/>
      <c r="C13" s="87"/>
      <c r="D13" s="88"/>
      <c r="E13" s="87"/>
      <c r="F13" s="88"/>
      <c r="G13" s="87"/>
      <c r="H13" s="88"/>
      <c r="M13" s="25"/>
    </row>
    <row r="14" spans="2:13" ht="15" customHeight="1" x14ac:dyDescent="0.25">
      <c r="B14" s="81"/>
      <c r="C14" s="89"/>
      <c r="D14" s="90"/>
      <c r="E14" s="89"/>
      <c r="F14" s="90"/>
      <c r="G14" s="89"/>
      <c r="H14" s="90"/>
      <c r="M14" s="25"/>
    </row>
    <row r="15" spans="2:13" x14ac:dyDescent="0.25">
      <c r="B15" s="20"/>
      <c r="E15" s="16"/>
    </row>
    <row r="16" spans="2:13" ht="18.75" x14ac:dyDescent="0.3">
      <c r="B16" s="23" t="s">
        <v>126</v>
      </c>
      <c r="C16" s="96" t="s">
        <v>104</v>
      </c>
      <c r="D16" s="96"/>
      <c r="E16" s="96"/>
      <c r="F16" s="96"/>
      <c r="G16" s="96"/>
      <c r="H16" s="96"/>
      <c r="I16" s="96" t="s">
        <v>52</v>
      </c>
      <c r="J16" s="96"/>
      <c r="K16" s="96"/>
      <c r="L16" s="96"/>
      <c r="M16" s="96"/>
    </row>
    <row r="17" spans="2:13" x14ac:dyDescent="0.25">
      <c r="B17" s="45" t="s">
        <v>37</v>
      </c>
      <c r="C17" s="69" t="str">
        <f>'Output function - IA'!O49</f>
        <v>Frame: 51 ----- Stem: Integrated ----- Aerobar:+ 5 + 10  with reach: 36 mm</v>
      </c>
      <c r="D17" s="70"/>
      <c r="E17" s="70"/>
      <c r="F17" s="70"/>
      <c r="G17" s="70"/>
      <c r="H17" s="71"/>
      <c r="I17" s="70" t="str">
        <f>'Output function - IA'!O64</f>
        <v xml:space="preserve">Stem Bolts: 25mm -----  Aerobar Bolts: Top 55mm; Bottom N/A </v>
      </c>
      <c r="J17" s="70"/>
      <c r="K17" s="70"/>
      <c r="L17" s="70"/>
      <c r="M17" s="71"/>
    </row>
    <row r="18" spans="2:13" x14ac:dyDescent="0.25">
      <c r="B18" s="46"/>
      <c r="C18" s="72" t="str">
        <f>'Output function - IA'!O50</f>
        <v>Frame: 48 ----- Stem: Integrated w/15 ----- Aerobar: + 20 + bridge + 5  with reach: 44 mm</v>
      </c>
      <c r="D18" s="73"/>
      <c r="E18" s="73"/>
      <c r="F18" s="73"/>
      <c r="G18" s="73"/>
      <c r="H18" s="74"/>
      <c r="I18" s="73" t="str">
        <f>'Output function - IA'!O65</f>
        <v xml:space="preserve">Stem Bolts: 40mm -----  Aerobar Bolts: Top 30mm; Bottom 30mm </v>
      </c>
      <c r="J18" s="73"/>
      <c r="K18" s="73"/>
      <c r="L18" s="73"/>
      <c r="M18" s="74"/>
    </row>
    <row r="19" spans="2:13" x14ac:dyDescent="0.25">
      <c r="B19" s="46"/>
      <c r="C19" s="72" t="str">
        <f>'Output function - IA'!O51</f>
        <v>Frame: 54 ----- Stem: 31.8 ----- Carbon Aerobar: + 10  with reach: -25 mm</v>
      </c>
      <c r="D19" s="73"/>
      <c r="E19" s="73"/>
      <c r="F19" s="73"/>
      <c r="G19" s="73"/>
      <c r="H19" s="74"/>
      <c r="I19" s="73" t="str">
        <f>'Output function - IA'!O66</f>
        <v xml:space="preserve">Stem Bolts: N/A -----  Aerobar Bolts: Top 50mm; Bottom N/A </v>
      </c>
      <c r="J19" s="73"/>
      <c r="K19" s="73"/>
      <c r="L19" s="73"/>
      <c r="M19" s="74"/>
    </row>
    <row r="20" spans="2:13" x14ac:dyDescent="0.25">
      <c r="B20" s="46"/>
      <c r="C20" s="72" t="str">
        <f>'Output function - IA'!O52</f>
        <v>Frame: 51 ----- Stem: 31.8 ----- Carbon Aerobar: + 20 + bridge + 5  with reach: -9 mm</v>
      </c>
      <c r="D20" s="73"/>
      <c r="E20" s="73"/>
      <c r="F20" s="73"/>
      <c r="G20" s="73"/>
      <c r="H20" s="74"/>
      <c r="I20" s="73" t="str">
        <f>'Output function - IA'!O67</f>
        <v xml:space="preserve">Stem Bolts: N/A -----  Aerobar Bolts: Top 30mm; Bottom 30mm </v>
      </c>
      <c r="J20" s="73"/>
      <c r="K20" s="73"/>
      <c r="L20" s="73"/>
      <c r="M20" s="74"/>
    </row>
    <row r="21" spans="2:13" x14ac:dyDescent="0.25">
      <c r="B21" s="46"/>
      <c r="C21" s="72" t="str">
        <f>'Output function - IA'!O53</f>
        <v>Frame: 51 ----- Stem: 31.8 ----- Alloy Aerobar: + 5 + 10  with reach: -7 mm</v>
      </c>
      <c r="D21" s="73"/>
      <c r="E21" s="73"/>
      <c r="F21" s="73"/>
      <c r="G21" s="73"/>
      <c r="H21" s="74"/>
      <c r="I21" s="73" t="str">
        <f>'Output function - IA'!O68</f>
        <v xml:space="preserve">Stem Bolts: N/A -----  Aerobar Bolts: Top 35mm; Bottom N/A </v>
      </c>
      <c r="J21" s="73"/>
      <c r="K21" s="73"/>
      <c r="L21" s="73"/>
      <c r="M21" s="74"/>
    </row>
    <row r="22" spans="2:13" x14ac:dyDescent="0.25">
      <c r="B22" s="46"/>
      <c r="C22" s="72" t="str">
        <f>'Output function - IA'!O54</f>
        <v/>
      </c>
      <c r="D22" s="73"/>
      <c r="E22" s="73"/>
      <c r="F22" s="73"/>
      <c r="G22" s="73"/>
      <c r="H22" s="74"/>
      <c r="I22" s="73" t="str">
        <f>'Output function - IA'!O69</f>
        <v/>
      </c>
      <c r="J22" s="73"/>
      <c r="K22" s="73"/>
      <c r="L22" s="73"/>
      <c r="M22" s="74"/>
    </row>
    <row r="23" spans="2:13" x14ac:dyDescent="0.25">
      <c r="B23" s="46"/>
      <c r="C23" s="72" t="str">
        <f>'Output function - IA'!O55</f>
        <v/>
      </c>
      <c r="D23" s="73"/>
      <c r="E23" s="73"/>
      <c r="F23" s="73"/>
      <c r="G23" s="73"/>
      <c r="H23" s="74"/>
      <c r="I23" s="73" t="str">
        <f>'Output function - IA'!O70</f>
        <v/>
      </c>
      <c r="J23" s="73"/>
      <c r="K23" s="73"/>
      <c r="L23" s="73"/>
      <c r="M23" s="74"/>
    </row>
    <row r="24" spans="2:13" x14ac:dyDescent="0.25">
      <c r="B24" s="46"/>
      <c r="C24" s="72" t="str">
        <f>'Output function - IA'!O56</f>
        <v/>
      </c>
      <c r="D24" s="73"/>
      <c r="E24" s="73"/>
      <c r="F24" s="73"/>
      <c r="G24" s="73"/>
      <c r="H24" s="74"/>
      <c r="I24" s="73" t="str">
        <f>'Output function - IA'!O71</f>
        <v/>
      </c>
      <c r="J24" s="73"/>
      <c r="K24" s="73"/>
      <c r="L24" s="73"/>
      <c r="M24" s="74"/>
    </row>
    <row r="25" spans="2:13" x14ac:dyDescent="0.25">
      <c r="B25" s="47"/>
      <c r="C25" s="72" t="str">
        <f>'Output function - IA'!O57</f>
        <v/>
      </c>
      <c r="D25" s="73"/>
      <c r="E25" s="73"/>
      <c r="F25" s="73"/>
      <c r="G25" s="73"/>
      <c r="H25" s="74"/>
      <c r="I25" s="73" t="str">
        <f>'Output function - IA'!O72</f>
        <v/>
      </c>
      <c r="J25" s="73"/>
      <c r="K25" s="73"/>
      <c r="L25" s="73"/>
      <c r="M25" s="74"/>
    </row>
    <row r="26" spans="2:13" x14ac:dyDescent="0.25">
      <c r="B26" s="45" t="s">
        <v>88</v>
      </c>
      <c r="C26" s="48" t="str">
        <f>'Output function - IA'!P49</f>
        <v>Frame: 48 ----- Stem: Integrated w/15 ----- Aerobar: + 30  with reach: 44 mm</v>
      </c>
      <c r="D26" s="49"/>
      <c r="E26" s="49"/>
      <c r="F26" s="49"/>
      <c r="G26" s="49"/>
      <c r="H26" s="50"/>
      <c r="I26" s="52" t="str">
        <f>'Output function - IA'!P64</f>
        <v xml:space="preserve">Stem Bolts: 40mm -----  Aerobar Bolts: Top 25mm; Bottom 30mm </v>
      </c>
      <c r="J26" s="52"/>
      <c r="K26" s="52"/>
      <c r="L26" s="52"/>
      <c r="M26" s="53"/>
    </row>
    <row r="27" spans="2:13" x14ac:dyDescent="0.25">
      <c r="B27" s="46"/>
      <c r="C27" s="54" t="str">
        <f>'Output function - IA'!P50</f>
        <v>Frame: 48 ----- Stem: Integrated w/30 ----- Aerobar: + 5 + 10  with reach: 44 mm</v>
      </c>
      <c r="D27" s="55"/>
      <c r="E27" s="55"/>
      <c r="F27" s="55"/>
      <c r="G27" s="55"/>
      <c r="H27" s="56"/>
      <c r="I27" s="58" t="str">
        <f>'Output function - IA'!P65</f>
        <v xml:space="preserve">Stem Bolts: 55mm -----  Aerobar Bolts: Top 55mm; Bottom N/A </v>
      </c>
      <c r="J27" s="58"/>
      <c r="K27" s="58"/>
      <c r="L27" s="58"/>
      <c r="M27" s="59"/>
    </row>
    <row r="28" spans="2:13" x14ac:dyDescent="0.25">
      <c r="B28" s="46"/>
      <c r="C28" s="54" t="str">
        <f>'Output function - IA'!P51</f>
        <v>Frame: 51 ----- Stem: 31.8 ----- Carbon Aerobar: + 30  with reach: -9 mm</v>
      </c>
      <c r="D28" s="55"/>
      <c r="E28" s="55"/>
      <c r="F28" s="55"/>
      <c r="G28" s="55"/>
      <c r="H28" s="56"/>
      <c r="I28" s="58" t="str">
        <f>'Output function - IA'!P66</f>
        <v xml:space="preserve">Stem Bolts: N/A -----  Aerobar Bolts: Top 25mm; Bottom 30mm </v>
      </c>
      <c r="J28" s="58"/>
      <c r="K28" s="58"/>
      <c r="L28" s="58"/>
      <c r="M28" s="59"/>
    </row>
    <row r="29" spans="2:13" x14ac:dyDescent="0.25">
      <c r="B29" s="46"/>
      <c r="C29" s="54" t="str">
        <f>'Output function - IA'!P52</f>
        <v>Frame: 48 ----- Stem: 31.8 ----- Alloy Aerobar: + 30 + bridge + 5  with reach: 1 mm</v>
      </c>
      <c r="D29" s="55"/>
      <c r="E29" s="55"/>
      <c r="F29" s="55"/>
      <c r="G29" s="55"/>
      <c r="H29" s="56"/>
      <c r="I29" s="58" t="str">
        <f>'Output function - IA'!P67</f>
        <v xml:space="preserve">Stem Bolts: N/A -----  Aerobar Bolts: Top 30mm; Bottom 15mm </v>
      </c>
      <c r="J29" s="58"/>
      <c r="K29" s="58"/>
      <c r="L29" s="58"/>
      <c r="M29" s="59"/>
    </row>
    <row r="30" spans="2:13" x14ac:dyDescent="0.25">
      <c r="B30" s="46"/>
      <c r="C30" s="54" t="str">
        <f>'Output function - IA'!P53</f>
        <v/>
      </c>
      <c r="D30" s="55"/>
      <c r="E30" s="55"/>
      <c r="F30" s="55"/>
      <c r="G30" s="55"/>
      <c r="H30" s="56"/>
      <c r="I30" s="58" t="str">
        <f>'Output function - IA'!P68</f>
        <v/>
      </c>
      <c r="J30" s="58"/>
      <c r="K30" s="58"/>
      <c r="L30" s="58"/>
      <c r="M30" s="59"/>
    </row>
    <row r="31" spans="2:13" x14ac:dyDescent="0.25">
      <c r="B31" s="46"/>
      <c r="C31" s="54" t="str">
        <f>'Output function - IA'!P54</f>
        <v/>
      </c>
      <c r="D31" s="55"/>
      <c r="E31" s="55"/>
      <c r="F31" s="55"/>
      <c r="G31" s="55"/>
      <c r="H31" s="56"/>
      <c r="I31" s="58" t="str">
        <f>'Output function - IA'!P69</f>
        <v/>
      </c>
      <c r="J31" s="58"/>
      <c r="K31" s="58"/>
      <c r="L31" s="58"/>
      <c r="M31" s="59"/>
    </row>
    <row r="32" spans="2:13" x14ac:dyDescent="0.25">
      <c r="B32" s="46"/>
      <c r="C32" s="54" t="str">
        <f>'Output function - IA'!P55</f>
        <v/>
      </c>
      <c r="D32" s="55"/>
      <c r="E32" s="55"/>
      <c r="F32" s="55"/>
      <c r="G32" s="55"/>
      <c r="H32" s="56"/>
      <c r="I32" s="58" t="str">
        <f>'Output function - IA'!P70</f>
        <v/>
      </c>
      <c r="J32" s="58"/>
      <c r="K32" s="58"/>
      <c r="L32" s="58"/>
      <c r="M32" s="59"/>
    </row>
    <row r="33" spans="2:13" x14ac:dyDescent="0.25">
      <c r="B33" s="47"/>
      <c r="C33" s="60" t="str">
        <f>'Output function - IA'!P56</f>
        <v/>
      </c>
      <c r="D33" s="61"/>
      <c r="E33" s="61"/>
      <c r="F33" s="61"/>
      <c r="G33" s="61"/>
      <c r="H33" s="62"/>
      <c r="I33" s="64" t="str">
        <f>'Output function - IA'!P71</f>
        <v/>
      </c>
      <c r="J33" s="64"/>
      <c r="K33" s="64"/>
      <c r="L33" s="64"/>
      <c r="M33" s="65"/>
    </row>
    <row r="34" spans="2:13" x14ac:dyDescent="0.25">
      <c r="B34" s="45" t="s">
        <v>103</v>
      </c>
      <c r="C34" s="48" t="str">
        <f>'Output function - IA'!Q49</f>
        <v>Frame: 48 ----- Stem: Integrated ----- Aerobar:+ 40 + bridge  with reach: 44 mm</v>
      </c>
      <c r="D34" s="49"/>
      <c r="E34" s="49"/>
      <c r="F34" s="49"/>
      <c r="G34" s="49"/>
      <c r="H34" s="50"/>
      <c r="I34" s="52" t="str">
        <f>'Output function - IA'!Q64</f>
        <v xml:space="preserve">Stem Bolts: 25mm -----  Aerobar Bolts: Top 35mm; Bottom 30mm </v>
      </c>
      <c r="J34" s="52"/>
      <c r="K34" s="52"/>
      <c r="L34" s="52"/>
      <c r="M34" s="53"/>
    </row>
    <row r="35" spans="2:13" x14ac:dyDescent="0.25">
      <c r="B35" s="46"/>
      <c r="C35" s="54" t="str">
        <f>'Output function - IA'!Q50</f>
        <v>Frame: 48 ----- Stem: 31.8 ----- Carbon Aerobar: + 40 + bridge + 10  with reach: -1 mm</v>
      </c>
      <c r="D35" s="55"/>
      <c r="E35" s="55"/>
      <c r="F35" s="55"/>
      <c r="G35" s="55"/>
      <c r="H35" s="56"/>
      <c r="I35" s="58" t="str">
        <f>'Output function - IA'!Q65</f>
        <v xml:space="preserve">Stem Bolts: N/A -----  Aerobar Bolts: Top 40mm; Bottom 30mm </v>
      </c>
      <c r="J35" s="58"/>
      <c r="K35" s="58"/>
      <c r="L35" s="58"/>
      <c r="M35" s="59"/>
    </row>
    <row r="36" spans="2:13" x14ac:dyDescent="0.25">
      <c r="B36" s="46"/>
      <c r="C36" s="54" t="str">
        <f>'Output function - IA'!Q51</f>
        <v/>
      </c>
      <c r="D36" s="55"/>
      <c r="E36" s="55"/>
      <c r="F36" s="55"/>
      <c r="G36" s="55"/>
      <c r="H36" s="56"/>
      <c r="I36" s="58" t="str">
        <f>'Output function - IA'!Q66</f>
        <v/>
      </c>
      <c r="J36" s="58"/>
      <c r="K36" s="58"/>
      <c r="L36" s="58"/>
      <c r="M36" s="59"/>
    </row>
    <row r="37" spans="2:13" x14ac:dyDescent="0.25">
      <c r="B37" s="46"/>
      <c r="C37" s="54" t="str">
        <f>'Output function - IA'!Q52</f>
        <v/>
      </c>
      <c r="D37" s="55"/>
      <c r="E37" s="55"/>
      <c r="F37" s="55"/>
      <c r="G37" s="55"/>
      <c r="H37" s="56"/>
      <c r="I37" s="58" t="str">
        <f>'Output function - IA'!Q67</f>
        <v/>
      </c>
      <c r="J37" s="58"/>
      <c r="K37" s="58"/>
      <c r="L37" s="58"/>
      <c r="M37" s="59"/>
    </row>
    <row r="38" spans="2:13" x14ac:dyDescent="0.25">
      <c r="B38" s="46"/>
      <c r="C38" s="54" t="str">
        <f>'Output function - IA'!Q53</f>
        <v/>
      </c>
      <c r="D38" s="55"/>
      <c r="E38" s="55"/>
      <c r="F38" s="55"/>
      <c r="G38" s="55"/>
      <c r="H38" s="56"/>
      <c r="I38" s="58" t="str">
        <f>'Output function - IA'!Q68</f>
        <v/>
      </c>
      <c r="J38" s="58"/>
      <c r="K38" s="58"/>
      <c r="L38" s="58"/>
      <c r="M38" s="59"/>
    </row>
    <row r="39" spans="2:13" x14ac:dyDescent="0.25">
      <c r="B39" s="46"/>
      <c r="C39" s="54" t="str">
        <f>'Output function - IA'!Q54</f>
        <v/>
      </c>
      <c r="D39" s="55"/>
      <c r="E39" s="55"/>
      <c r="F39" s="55"/>
      <c r="G39" s="55"/>
      <c r="H39" s="56"/>
      <c r="I39" s="58" t="str">
        <f>'Output function - IA'!Q69</f>
        <v/>
      </c>
      <c r="J39" s="58"/>
      <c r="K39" s="58"/>
      <c r="L39" s="58"/>
      <c r="M39" s="59"/>
    </row>
    <row r="40" spans="2:13" x14ac:dyDescent="0.25">
      <c r="B40" s="46"/>
      <c r="C40" s="54" t="str">
        <f>'Output function - IA'!Q55</f>
        <v/>
      </c>
      <c r="D40" s="55"/>
      <c r="E40" s="55"/>
      <c r="F40" s="55"/>
      <c r="G40" s="55"/>
      <c r="H40" s="56"/>
      <c r="I40" s="58" t="str">
        <f>'Output function - IA'!Q70</f>
        <v/>
      </c>
      <c r="J40" s="58"/>
      <c r="K40" s="58"/>
      <c r="L40" s="58"/>
      <c r="M40" s="59"/>
    </row>
    <row r="41" spans="2:13" x14ac:dyDescent="0.25">
      <c r="B41" s="47"/>
      <c r="C41" s="60" t="str">
        <f>'Output function - IA'!Q56</f>
        <v/>
      </c>
      <c r="D41" s="61"/>
      <c r="E41" s="61"/>
      <c r="F41" s="61"/>
      <c r="G41" s="61"/>
      <c r="H41" s="62"/>
      <c r="I41" s="64" t="str">
        <f>'Output function - IA'!Q71</f>
        <v/>
      </c>
      <c r="J41" s="64"/>
      <c r="K41" s="64"/>
      <c r="L41" s="64"/>
      <c r="M41" s="65"/>
    </row>
    <row r="42" spans="2:13" x14ac:dyDescent="0.25">
      <c r="C42" s="16" t="str">
        <f>'Output function - IA'!Q57</f>
        <v/>
      </c>
      <c r="D42" s="16"/>
    </row>
    <row r="43" spans="2:13" ht="18.75" x14ac:dyDescent="0.3">
      <c r="B43" s="23" t="s">
        <v>125</v>
      </c>
      <c r="C43" s="78" t="s">
        <v>104</v>
      </c>
      <c r="D43" s="78"/>
      <c r="E43" s="78"/>
      <c r="F43" s="78"/>
      <c r="G43" s="78"/>
      <c r="H43" s="78"/>
      <c r="I43" s="78" t="s">
        <v>52</v>
      </c>
      <c r="J43" s="78"/>
      <c r="K43" s="78"/>
      <c r="L43" s="78"/>
      <c r="M43" s="78"/>
    </row>
    <row r="44" spans="2:13" x14ac:dyDescent="0.25">
      <c r="B44" s="45" t="s">
        <v>37</v>
      </c>
      <c r="C44" s="69" t="str">
        <f>'Output function - IAx'!O49</f>
        <v>Frame: 51 ----- Stem: Integrated ----- Alloy Aerobar: + 5  with reach: 11 mm</v>
      </c>
      <c r="D44" s="70"/>
      <c r="E44" s="70"/>
      <c r="F44" s="70"/>
      <c r="G44" s="70"/>
      <c r="H44" s="70"/>
      <c r="I44" s="69" t="str">
        <f>'Output function - IAx'!O64</f>
        <v xml:space="preserve">Stem Bolts: N/A ----- Aerobar Bolts: Top 25mm; Bottom N/A </v>
      </c>
      <c r="J44" s="70"/>
      <c r="K44" s="70"/>
      <c r="L44" s="70"/>
      <c r="M44" s="71"/>
    </row>
    <row r="45" spans="2:13" x14ac:dyDescent="0.25">
      <c r="B45" s="46"/>
      <c r="C45" s="72" t="str">
        <f>'Output function - IAx'!O50</f>
        <v>Frame: 51 ----- Stem: Integrated ----- Carbon Aerobar (optional): + 20  with reach: 11 mm</v>
      </c>
      <c r="D45" s="73"/>
      <c r="E45" s="73"/>
      <c r="F45" s="73"/>
      <c r="G45" s="73"/>
      <c r="H45" s="73"/>
      <c r="I45" s="72" t="str">
        <f>'Output function - IAx'!O65</f>
        <v xml:space="preserve">Stem Bolts: N/A ----- Aerobar Bolts: Top 20mm; Bottom 30mm </v>
      </c>
      <c r="J45" s="73"/>
      <c r="K45" s="73"/>
      <c r="L45" s="73"/>
      <c r="M45" s="74"/>
    </row>
    <row r="46" spans="2:13" x14ac:dyDescent="0.25">
      <c r="B46" s="46"/>
      <c r="C46" s="72" t="str">
        <f>'Output function - IAx'!O51</f>
        <v>Frame: 48 ----- Stem: Integrated ----- Alloy Aerobar: + 20 + bridge + 5  with reach: 26 mm</v>
      </c>
      <c r="D46" s="73"/>
      <c r="E46" s="73"/>
      <c r="F46" s="73"/>
      <c r="G46" s="73"/>
      <c r="H46" s="73"/>
      <c r="I46" s="72" t="str">
        <f>'Output function - IAx'!O66</f>
        <v xml:space="preserve">Stem Bolts: N/A ----- Aerobar Bolts: Top 25mm; Bottom 15mm </v>
      </c>
      <c r="J46" s="73"/>
      <c r="K46" s="73"/>
      <c r="L46" s="73"/>
      <c r="M46" s="74"/>
    </row>
    <row r="47" spans="2:13" x14ac:dyDescent="0.25">
      <c r="B47" s="46"/>
      <c r="C47" s="72" t="str">
        <f>'Output function - IAx'!O52</f>
        <v/>
      </c>
      <c r="D47" s="73"/>
      <c r="E47" s="73"/>
      <c r="F47" s="73"/>
      <c r="G47" s="73"/>
      <c r="H47" s="73"/>
      <c r="I47" s="72" t="str">
        <f>'Output function - IAx'!O67</f>
        <v/>
      </c>
      <c r="J47" s="73"/>
      <c r="K47" s="73"/>
      <c r="L47" s="73"/>
      <c r="M47" s="74"/>
    </row>
    <row r="48" spans="2:13" x14ac:dyDescent="0.25">
      <c r="B48" s="46"/>
      <c r="C48" s="72" t="str">
        <f>'Output function - IAx'!O53</f>
        <v/>
      </c>
      <c r="D48" s="73"/>
      <c r="E48" s="73"/>
      <c r="F48" s="73"/>
      <c r="G48" s="73"/>
      <c r="H48" s="73"/>
      <c r="I48" s="72" t="str">
        <f>'Output function - IAx'!O68</f>
        <v/>
      </c>
      <c r="J48" s="73"/>
      <c r="K48" s="73"/>
      <c r="L48" s="73"/>
      <c r="M48" s="74"/>
    </row>
    <row r="49" spans="2:13" x14ac:dyDescent="0.25">
      <c r="B49" s="46"/>
      <c r="C49" s="72" t="str">
        <f>'Output function - IAx'!O54</f>
        <v/>
      </c>
      <c r="D49" s="73"/>
      <c r="E49" s="73"/>
      <c r="F49" s="73"/>
      <c r="G49" s="73"/>
      <c r="H49" s="73"/>
      <c r="I49" s="72" t="str">
        <f>'Output function - IAx'!O69</f>
        <v/>
      </c>
      <c r="J49" s="73"/>
      <c r="K49" s="73"/>
      <c r="L49" s="73"/>
      <c r="M49" s="74"/>
    </row>
    <row r="50" spans="2:13" x14ac:dyDescent="0.25">
      <c r="B50" s="46"/>
      <c r="C50" s="72" t="str">
        <f>'Output function - IAx'!O55</f>
        <v/>
      </c>
      <c r="D50" s="73"/>
      <c r="E50" s="73"/>
      <c r="F50" s="73"/>
      <c r="G50" s="73"/>
      <c r="H50" s="73"/>
      <c r="I50" s="72" t="str">
        <f>'Output function - IAx'!O70</f>
        <v/>
      </c>
      <c r="J50" s="73"/>
      <c r="K50" s="73"/>
      <c r="L50" s="73"/>
      <c r="M50" s="74"/>
    </row>
    <row r="51" spans="2:13" x14ac:dyDescent="0.25">
      <c r="B51" s="46"/>
      <c r="C51" s="72" t="str">
        <f>'Output function - IAx'!O56</f>
        <v/>
      </c>
      <c r="D51" s="73"/>
      <c r="E51" s="73"/>
      <c r="F51" s="73"/>
      <c r="G51" s="73"/>
      <c r="H51" s="73"/>
      <c r="I51" s="72" t="str">
        <f>'Output function - IAx'!O71</f>
        <v/>
      </c>
      <c r="J51" s="73"/>
      <c r="K51" s="73"/>
      <c r="L51" s="73"/>
      <c r="M51" s="74"/>
    </row>
    <row r="52" spans="2:13" x14ac:dyDescent="0.25">
      <c r="B52" s="47"/>
      <c r="C52" s="75" t="str">
        <f>'Output function - IAx'!O57</f>
        <v/>
      </c>
      <c r="D52" s="76"/>
      <c r="E52" s="76"/>
      <c r="F52" s="76"/>
      <c r="G52" s="76"/>
      <c r="H52" s="76"/>
      <c r="I52" s="75" t="str">
        <f>'Output function - IAx'!O72</f>
        <v/>
      </c>
      <c r="J52" s="76"/>
      <c r="K52" s="76"/>
      <c r="L52" s="76"/>
      <c r="M52" s="77"/>
    </row>
    <row r="53" spans="2:13" x14ac:dyDescent="0.25">
      <c r="B53" s="45" t="s">
        <v>88</v>
      </c>
      <c r="C53" s="48" t="str">
        <f>'Output function - IAx'!P49</f>
        <v>Frame: 48 ----- Stem: Integrated ----- Alloy Aerobar: + 30  with reach: 26 mm</v>
      </c>
      <c r="D53" s="49"/>
      <c r="E53" s="49"/>
      <c r="F53" s="49"/>
      <c r="G53" s="49"/>
      <c r="H53" s="50"/>
      <c r="I53" s="51" t="str">
        <f>'Output function - IAx'!P64</f>
        <v xml:space="preserve">Stem Bolts: N/A ----- Aerobar Bolts: Top 25mm; Bottom 15mm </v>
      </c>
      <c r="J53" s="52"/>
      <c r="K53" s="52"/>
      <c r="L53" s="52"/>
      <c r="M53" s="53"/>
    </row>
    <row r="54" spans="2:13" x14ac:dyDescent="0.25">
      <c r="B54" s="46"/>
      <c r="C54" s="54" t="str">
        <f>'Output function - IAx'!P50</f>
        <v>Frame: 48 ----- Stem: Integrated ----- Carbon Aerobar (optional): + 30 + bridge + 5  with reach: 26 mm</v>
      </c>
      <c r="D54" s="55"/>
      <c r="E54" s="55"/>
      <c r="F54" s="55"/>
      <c r="G54" s="55"/>
      <c r="H54" s="56"/>
      <c r="I54" s="57" t="str">
        <f>'Output function - IAx'!P65</f>
        <v xml:space="preserve">Stem Bolts: N/A ----- Aerobar Bolts: Top 35mm; Bottom 30mm </v>
      </c>
      <c r="J54" s="58"/>
      <c r="K54" s="58"/>
      <c r="L54" s="58"/>
      <c r="M54" s="59"/>
    </row>
    <row r="55" spans="2:13" x14ac:dyDescent="0.25">
      <c r="B55" s="46"/>
      <c r="C55" s="54" t="str">
        <f>'Output function - IAx'!P51</f>
        <v/>
      </c>
      <c r="D55" s="55"/>
      <c r="E55" s="55"/>
      <c r="F55" s="55"/>
      <c r="G55" s="55"/>
      <c r="H55" s="56"/>
      <c r="I55" s="57" t="str">
        <f>'Output function - IAx'!P66</f>
        <v/>
      </c>
      <c r="J55" s="58"/>
      <c r="K55" s="58"/>
      <c r="L55" s="58"/>
      <c r="M55" s="59"/>
    </row>
    <row r="56" spans="2:13" x14ac:dyDescent="0.25">
      <c r="B56" s="46"/>
      <c r="C56" s="54" t="str">
        <f>'Output function - IAx'!P52</f>
        <v/>
      </c>
      <c r="D56" s="55"/>
      <c r="E56" s="55"/>
      <c r="F56" s="55"/>
      <c r="G56" s="55"/>
      <c r="H56" s="56"/>
      <c r="I56" s="57" t="str">
        <f>'Output function - IAx'!P67</f>
        <v/>
      </c>
      <c r="J56" s="58"/>
      <c r="K56" s="58"/>
      <c r="L56" s="58"/>
      <c r="M56" s="59"/>
    </row>
    <row r="57" spans="2:13" x14ac:dyDescent="0.25">
      <c r="B57" s="46"/>
      <c r="C57" s="54" t="str">
        <f>'Output function - IAx'!P53</f>
        <v/>
      </c>
      <c r="D57" s="55"/>
      <c r="E57" s="55"/>
      <c r="F57" s="55"/>
      <c r="G57" s="55"/>
      <c r="H57" s="56"/>
      <c r="I57" s="57" t="str">
        <f>'Output function - IAx'!P68</f>
        <v/>
      </c>
      <c r="J57" s="58"/>
      <c r="K57" s="58"/>
      <c r="L57" s="58"/>
      <c r="M57" s="59"/>
    </row>
    <row r="58" spans="2:13" x14ac:dyDescent="0.25">
      <c r="B58" s="46"/>
      <c r="C58" s="54" t="str">
        <f>'Output function - IAx'!P54</f>
        <v/>
      </c>
      <c r="D58" s="55"/>
      <c r="E58" s="55"/>
      <c r="F58" s="55"/>
      <c r="G58" s="55"/>
      <c r="H58" s="56"/>
      <c r="I58" s="57" t="str">
        <f>'Output function - IAx'!P69</f>
        <v/>
      </c>
      <c r="J58" s="58"/>
      <c r="K58" s="58"/>
      <c r="L58" s="58"/>
      <c r="M58" s="59"/>
    </row>
    <row r="59" spans="2:13" x14ac:dyDescent="0.25">
      <c r="B59" s="46"/>
      <c r="C59" s="54" t="str">
        <f>'Output function - IAx'!P55</f>
        <v/>
      </c>
      <c r="D59" s="55"/>
      <c r="E59" s="55"/>
      <c r="F59" s="55"/>
      <c r="G59" s="55"/>
      <c r="H59" s="56"/>
      <c r="I59" s="57" t="str">
        <f>'Output function - IAx'!P70</f>
        <v/>
      </c>
      <c r="J59" s="58"/>
      <c r="K59" s="58"/>
      <c r="L59" s="58"/>
      <c r="M59" s="59"/>
    </row>
    <row r="60" spans="2:13" x14ac:dyDescent="0.25">
      <c r="B60" s="47"/>
      <c r="C60" s="60" t="str">
        <f>'Output function - IAx'!P56</f>
        <v/>
      </c>
      <c r="D60" s="61"/>
      <c r="E60" s="61"/>
      <c r="F60" s="61"/>
      <c r="G60" s="61"/>
      <c r="H60" s="62"/>
      <c r="I60" s="63" t="str">
        <f>'Output function - IAx'!P71</f>
        <v/>
      </c>
      <c r="J60" s="64"/>
      <c r="K60" s="64"/>
      <c r="L60" s="64"/>
      <c r="M60" s="65"/>
    </row>
    <row r="61" spans="2:13" x14ac:dyDescent="0.25">
      <c r="B61" s="45" t="s">
        <v>103</v>
      </c>
      <c r="C61" s="48" t="str">
        <f>'Output function - IAx'!Q49</f>
        <v/>
      </c>
      <c r="D61" s="49"/>
      <c r="E61" s="49"/>
      <c r="F61" s="49"/>
      <c r="G61" s="49"/>
      <c r="H61" s="50"/>
      <c r="I61" s="51" t="str">
        <f>'Output function - IAx'!Q64</f>
        <v/>
      </c>
      <c r="J61" s="52"/>
      <c r="K61" s="52"/>
      <c r="L61" s="52"/>
      <c r="M61" s="53"/>
    </row>
    <row r="62" spans="2:13" x14ac:dyDescent="0.25">
      <c r="B62" s="46"/>
      <c r="C62" s="54" t="str">
        <f>'Output function - IAx'!Q50</f>
        <v/>
      </c>
      <c r="D62" s="55"/>
      <c r="E62" s="55"/>
      <c r="F62" s="55"/>
      <c r="G62" s="55"/>
      <c r="H62" s="56"/>
      <c r="I62" s="57" t="str">
        <f>'Output function - IAx'!Q65</f>
        <v/>
      </c>
      <c r="J62" s="58"/>
      <c r="K62" s="58"/>
      <c r="L62" s="58"/>
      <c r="M62" s="59"/>
    </row>
    <row r="63" spans="2:13" x14ac:dyDescent="0.25">
      <c r="B63" s="46"/>
      <c r="C63" s="54" t="str">
        <f>'Output function - IAx'!Q51</f>
        <v/>
      </c>
      <c r="D63" s="55"/>
      <c r="E63" s="55"/>
      <c r="F63" s="55"/>
      <c r="G63" s="55"/>
      <c r="H63" s="56"/>
      <c r="I63" s="57" t="str">
        <f>'Output function - IAx'!Q66</f>
        <v/>
      </c>
      <c r="J63" s="58"/>
      <c r="K63" s="58"/>
      <c r="L63" s="58"/>
      <c r="M63" s="59"/>
    </row>
    <row r="64" spans="2:13" x14ac:dyDescent="0.25">
      <c r="B64" s="46"/>
      <c r="C64" s="54" t="str">
        <f>'Output function - IAx'!Q52</f>
        <v/>
      </c>
      <c r="D64" s="55"/>
      <c r="E64" s="55"/>
      <c r="F64" s="55"/>
      <c r="G64" s="55"/>
      <c r="H64" s="56"/>
      <c r="I64" s="57" t="str">
        <f>'Output function - IAx'!Q67</f>
        <v/>
      </c>
      <c r="J64" s="58"/>
      <c r="K64" s="58"/>
      <c r="L64" s="58"/>
      <c r="M64" s="59"/>
    </row>
    <row r="65" spans="2:13" x14ac:dyDescent="0.25">
      <c r="B65" s="46"/>
      <c r="C65" s="54" t="str">
        <f>'Output function - IAx'!Q53</f>
        <v/>
      </c>
      <c r="D65" s="55"/>
      <c r="E65" s="55"/>
      <c r="F65" s="55"/>
      <c r="G65" s="55"/>
      <c r="H65" s="56"/>
      <c r="I65" s="57" t="str">
        <f>'Output function - IAx'!Q68</f>
        <v/>
      </c>
      <c r="J65" s="58"/>
      <c r="K65" s="58"/>
      <c r="L65" s="58"/>
      <c r="M65" s="59"/>
    </row>
    <row r="66" spans="2:13" x14ac:dyDescent="0.25">
      <c r="B66" s="46"/>
      <c r="C66" s="54" t="str">
        <f>'Output function - IAx'!Q54</f>
        <v/>
      </c>
      <c r="D66" s="55"/>
      <c r="E66" s="55"/>
      <c r="F66" s="55"/>
      <c r="G66" s="55"/>
      <c r="H66" s="56"/>
      <c r="I66" s="57" t="str">
        <f>'Output function - IAx'!Q69</f>
        <v/>
      </c>
      <c r="J66" s="58"/>
      <c r="K66" s="58"/>
      <c r="L66" s="58"/>
      <c r="M66" s="59"/>
    </row>
    <row r="67" spans="2:13" x14ac:dyDescent="0.25">
      <c r="B67" s="46"/>
      <c r="C67" s="54" t="str">
        <f>'Output function - IAx'!Q55</f>
        <v/>
      </c>
      <c r="D67" s="55"/>
      <c r="E67" s="55"/>
      <c r="F67" s="55"/>
      <c r="G67" s="55"/>
      <c r="H67" s="56"/>
      <c r="I67" s="57" t="str">
        <f>'Output function - IAx'!Q70</f>
        <v/>
      </c>
      <c r="J67" s="58"/>
      <c r="K67" s="58"/>
      <c r="L67" s="58"/>
      <c r="M67" s="59"/>
    </row>
    <row r="68" spans="2:13" x14ac:dyDescent="0.25">
      <c r="B68" s="47"/>
      <c r="C68" s="60" t="str">
        <f>'Output function - IAx'!Q56</f>
        <v/>
      </c>
      <c r="D68" s="61"/>
      <c r="E68" s="61"/>
      <c r="F68" s="61"/>
      <c r="G68" s="61"/>
      <c r="H68" s="62"/>
      <c r="I68" s="63" t="str">
        <f>'Output function - IAx'!Q71</f>
        <v/>
      </c>
      <c r="J68" s="64"/>
      <c r="K68" s="64"/>
      <c r="L68" s="64"/>
      <c r="M68" s="65"/>
    </row>
    <row r="69" spans="2:13" x14ac:dyDescent="0.25"/>
    <row r="70" spans="2:13" x14ac:dyDescent="0.25"/>
    <row r="71" spans="2:13" ht="15" customHeight="1" x14ac:dyDescent="0.3">
      <c r="B71" s="23" t="s">
        <v>87</v>
      </c>
      <c r="C71" s="96" t="s">
        <v>104</v>
      </c>
      <c r="D71" s="96"/>
      <c r="E71" s="96"/>
      <c r="F71" s="96"/>
      <c r="G71" s="96"/>
      <c r="H71" s="96"/>
      <c r="I71" s="96" t="s">
        <v>52</v>
      </c>
      <c r="J71" s="96"/>
      <c r="K71" s="96"/>
      <c r="L71" s="96"/>
      <c r="M71" s="96"/>
    </row>
    <row r="72" spans="2:13" ht="15" customHeight="1" x14ac:dyDescent="0.25">
      <c r="B72" s="66" t="s">
        <v>37</v>
      </c>
      <c r="C72" s="69" t="str">
        <f>'Output function - DA'!P76</f>
        <v>Frame: 56 ----- Stem: 90x0  ----- Carbon Aerobar + 10  with reach: -25 mm</v>
      </c>
      <c r="D72" s="70"/>
      <c r="E72" s="70"/>
      <c r="F72" s="70"/>
      <c r="G72" s="70"/>
      <c r="H72" s="71"/>
      <c r="I72" s="70" t="str">
        <f>'Output function - DA'!P104</f>
        <v xml:space="preserve">Aerobar Bolts: Top 50mm; Bottom N/A </v>
      </c>
      <c r="J72" s="70"/>
      <c r="K72" s="70"/>
      <c r="L72" s="70"/>
      <c r="M72" s="71"/>
    </row>
    <row r="73" spans="2:13" ht="15" customHeight="1" x14ac:dyDescent="0.25">
      <c r="B73" s="67"/>
      <c r="C73" s="72" t="str">
        <f>'Output function - DA'!P77</f>
        <v>Frame: 54 ----- Stem: 90x0  ----- Carbon Aerobar + 20 + bridge + 5  with reach: -10 mm</v>
      </c>
      <c r="D73" s="73"/>
      <c r="E73" s="73"/>
      <c r="F73" s="73"/>
      <c r="G73" s="73"/>
      <c r="H73" s="74"/>
      <c r="I73" s="72" t="str">
        <f>'Output function - DA'!P105</f>
        <v xml:space="preserve">Aerobar Bolts: Top 30mm; Bottom 30mm </v>
      </c>
      <c r="J73" s="73"/>
      <c r="K73" s="73"/>
      <c r="L73" s="73"/>
      <c r="M73" s="74"/>
    </row>
    <row r="74" spans="2:13" ht="15" customHeight="1" x14ac:dyDescent="0.25">
      <c r="B74" s="67"/>
      <c r="C74" s="72" t="str">
        <f>'Output function - DA'!P78</f>
        <v>Frame: 54 ----- Stem: 110x0  ----- Carbon Aerobar + 20 + bridge + 5  with reach: -30 mm</v>
      </c>
      <c r="D74" s="73"/>
      <c r="E74" s="73"/>
      <c r="F74" s="73"/>
      <c r="G74" s="73"/>
      <c r="H74" s="74"/>
      <c r="I74" s="72" t="str">
        <f>'Output function - DA'!P106</f>
        <v xml:space="preserve">Aerobar Bolts: Top 30mm; Bottom 30mm </v>
      </c>
      <c r="J74" s="73"/>
      <c r="K74" s="73"/>
      <c r="L74" s="73"/>
      <c r="M74" s="74"/>
    </row>
    <row r="75" spans="2:13" ht="15" customHeight="1" x14ac:dyDescent="0.25">
      <c r="B75" s="67"/>
      <c r="C75" s="72" t="str">
        <f>'Output function - DA'!P79</f>
        <v>Frame: 54 ----- Stem: 90x0  ----- Aluminium Aerobar + 5 + 10  with reach: -10 mm</v>
      </c>
      <c r="D75" s="73"/>
      <c r="E75" s="73"/>
      <c r="F75" s="73"/>
      <c r="G75" s="73"/>
      <c r="H75" s="74"/>
      <c r="I75" s="72" t="str">
        <f>'Output function - DA'!P107</f>
        <v xml:space="preserve">Aerobar Bolts: Top 35mm; Bottom N/A </v>
      </c>
      <c r="J75" s="73"/>
      <c r="K75" s="73"/>
      <c r="L75" s="73"/>
      <c r="M75" s="74"/>
    </row>
    <row r="76" spans="2:13" ht="15" customHeight="1" x14ac:dyDescent="0.25">
      <c r="B76" s="67"/>
      <c r="C76" s="72" t="str">
        <f>'Output function - DA'!P80</f>
        <v>Frame: 54 ----- Stem: 110x0  ----- Aluminium Aerobar + 5 + 10  with reach: -30 mm</v>
      </c>
      <c r="D76" s="73"/>
      <c r="E76" s="73"/>
      <c r="F76" s="73"/>
      <c r="G76" s="73"/>
      <c r="H76" s="74"/>
      <c r="I76" s="72" t="str">
        <f>'Output function - DA'!P108</f>
        <v xml:space="preserve">Aerobar Bolts: Top 35mm; Bottom N/A </v>
      </c>
      <c r="J76" s="73"/>
      <c r="K76" s="73"/>
      <c r="L76" s="73"/>
      <c r="M76" s="74"/>
    </row>
    <row r="77" spans="2:13" ht="15" customHeight="1" x14ac:dyDescent="0.25">
      <c r="B77" s="67"/>
      <c r="C77" s="72" t="str">
        <f>'Output function - DA'!P81</f>
        <v>Frame: 51 ----- Stem: 70x30  ----- Carbon Aerobar + 10  with reach: 35 mm</v>
      </c>
      <c r="D77" s="73"/>
      <c r="E77" s="73"/>
      <c r="F77" s="73"/>
      <c r="G77" s="73"/>
      <c r="H77" s="74"/>
      <c r="I77" s="72" t="str">
        <f>'Output function - DA'!P109</f>
        <v xml:space="preserve">Aerobar Bolts: Top 50mm; Bottom N/A </v>
      </c>
      <c r="J77" s="73"/>
      <c r="K77" s="73"/>
      <c r="L77" s="73"/>
      <c r="M77" s="74"/>
    </row>
    <row r="78" spans="2:13" ht="15" customHeight="1" x14ac:dyDescent="0.25">
      <c r="B78" s="67"/>
      <c r="C78" s="72" t="str">
        <f>'Output function - DA'!P82</f>
        <v>Frame: 51 ----- Stem: 100x30  ----- Carbon Aerobar + 10  with reach: 5 mm</v>
      </c>
      <c r="D78" s="73"/>
      <c r="E78" s="73"/>
      <c r="F78" s="73"/>
      <c r="G78" s="73"/>
      <c r="H78" s="74"/>
      <c r="I78" s="72" t="str">
        <f>'Output function - DA'!P110</f>
        <v xml:space="preserve">Aerobar Bolts: Top 50mm; Bottom N/A </v>
      </c>
      <c r="J78" s="73"/>
      <c r="K78" s="73"/>
      <c r="L78" s="73"/>
      <c r="M78" s="74"/>
    </row>
    <row r="79" spans="2:13" ht="15" customHeight="1" x14ac:dyDescent="0.25">
      <c r="B79" s="67"/>
      <c r="C79" s="72" t="str">
        <f>'Output function - DA'!P83</f>
        <v>Frame: 51 ----- Stem: 90x0  ----- Aluminium Aerobar + 20 + 5  with reach: 10 mm</v>
      </c>
      <c r="D79" s="73"/>
      <c r="E79" s="73"/>
      <c r="F79" s="73"/>
      <c r="G79" s="73"/>
      <c r="H79" s="74"/>
      <c r="I79" s="72" t="str">
        <f>'Output function - DA'!P111</f>
        <v xml:space="preserve">Aerobar Bolts: Top 25mm; Bottom 15mm </v>
      </c>
      <c r="J79" s="73"/>
      <c r="K79" s="73"/>
      <c r="L79" s="73"/>
      <c r="M79" s="74"/>
    </row>
    <row r="80" spans="2:13" ht="15" customHeight="1" x14ac:dyDescent="0.25">
      <c r="B80" s="67"/>
      <c r="C80" s="72" t="str">
        <f>'Output function - DA'!P84</f>
        <v>Frame: 51 ----- Stem: 90x0  ----- Aluminium Aerobar + 20 + bridge  with reach: 10 mm</v>
      </c>
      <c r="D80" s="73"/>
      <c r="E80" s="73"/>
      <c r="F80" s="73"/>
      <c r="G80" s="73"/>
      <c r="H80" s="74"/>
      <c r="I80" s="72" t="str">
        <f>'Output function - DA'!P112</f>
        <v xml:space="preserve">Aerobar Bolts: Top 25mm; Bottom 15mm </v>
      </c>
      <c r="J80" s="73"/>
      <c r="K80" s="73"/>
      <c r="L80" s="73"/>
      <c r="M80" s="74"/>
    </row>
    <row r="81" spans="2:13" x14ac:dyDescent="0.25">
      <c r="B81" s="67"/>
      <c r="C81" s="72" t="str">
        <f>'Output function - DA'!P85</f>
        <v>Frame: 51 ----- Stem: 110x0  ----- Aluminium Aerobar + 20 + 5  with reach: -10 mm</v>
      </c>
      <c r="D81" s="73"/>
      <c r="E81" s="73"/>
      <c r="F81" s="73"/>
      <c r="G81" s="73"/>
      <c r="H81" s="74"/>
      <c r="I81" s="72" t="str">
        <f>'Output function - DA'!P113</f>
        <v xml:space="preserve">Aerobar Bolts: Top 25mm; Bottom 15mm </v>
      </c>
      <c r="J81" s="73"/>
      <c r="K81" s="73"/>
      <c r="L81" s="73"/>
      <c r="M81" s="74"/>
    </row>
    <row r="82" spans="2:13" x14ac:dyDescent="0.25">
      <c r="B82" s="67"/>
      <c r="C82" s="72" t="str">
        <f>'Output function - DA'!P86</f>
        <v>Frame: 51 ----- Stem: 110x0  ----- Aluminium Aerobar + 20 + bridge  with reach: -10 mm</v>
      </c>
      <c r="D82" s="73"/>
      <c r="E82" s="73"/>
      <c r="F82" s="73"/>
      <c r="G82" s="73"/>
      <c r="H82" s="74"/>
      <c r="I82" s="72" t="str">
        <f>'Output function - DA'!P114</f>
        <v xml:space="preserve">Aerobar Bolts: Top 25mm; Bottom 15mm </v>
      </c>
      <c r="J82" s="73"/>
      <c r="K82" s="73"/>
      <c r="L82" s="73"/>
      <c r="M82" s="74"/>
    </row>
    <row r="83" spans="2:13" x14ac:dyDescent="0.25">
      <c r="B83" s="67"/>
      <c r="C83" s="72" t="str">
        <f>'Output function - DA'!P87</f>
        <v>Frame: 47 ----- Stem: 100x60  ----- Aluminium Aerobar + 20  with reach: 25 mm</v>
      </c>
      <c r="D83" s="73"/>
      <c r="E83" s="73"/>
      <c r="F83" s="73"/>
      <c r="G83" s="73"/>
      <c r="H83" s="74"/>
      <c r="I83" s="72" t="str">
        <f>'Output function - DA'!P115</f>
        <v xml:space="preserve">Aerobar Bolts: Top 20mm; Bottom 15mm </v>
      </c>
      <c r="J83" s="73"/>
      <c r="K83" s="73"/>
      <c r="L83" s="73"/>
      <c r="M83" s="74"/>
    </row>
    <row r="84" spans="2:13" x14ac:dyDescent="0.25">
      <c r="B84" s="67"/>
      <c r="C84" s="72" t="str">
        <f>'Output function - DA'!P88</f>
        <v/>
      </c>
      <c r="D84" s="73"/>
      <c r="E84" s="73"/>
      <c r="F84" s="73"/>
      <c r="G84" s="73"/>
      <c r="H84" s="74"/>
      <c r="I84" s="72" t="str">
        <f>'Output function - DA'!P116</f>
        <v/>
      </c>
      <c r="J84" s="73"/>
      <c r="K84" s="73"/>
      <c r="L84" s="73"/>
      <c r="M84" s="74"/>
    </row>
    <row r="85" spans="2:13" x14ac:dyDescent="0.25">
      <c r="B85" s="67"/>
      <c r="C85" s="72" t="str">
        <f>'Output function - DA'!P89</f>
        <v/>
      </c>
      <c r="D85" s="73"/>
      <c r="E85" s="73"/>
      <c r="F85" s="73"/>
      <c r="G85" s="73"/>
      <c r="H85" s="74"/>
      <c r="I85" s="72" t="str">
        <f>'Output function - DA'!P117</f>
        <v/>
      </c>
      <c r="J85" s="73"/>
      <c r="K85" s="73"/>
      <c r="L85" s="73"/>
      <c r="M85" s="74"/>
    </row>
    <row r="86" spans="2:13" x14ac:dyDescent="0.25">
      <c r="B86" s="67"/>
      <c r="C86" s="72" t="str">
        <f>'Output function - DA'!P90</f>
        <v/>
      </c>
      <c r="D86" s="73"/>
      <c r="E86" s="73"/>
      <c r="F86" s="73"/>
      <c r="G86" s="73"/>
      <c r="H86" s="74"/>
      <c r="I86" s="72" t="str">
        <f>'Output function - DA'!P118</f>
        <v/>
      </c>
      <c r="J86" s="73"/>
      <c r="K86" s="73"/>
      <c r="L86" s="73"/>
      <c r="M86" s="74"/>
    </row>
    <row r="87" spans="2:13" x14ac:dyDescent="0.25">
      <c r="B87" s="67"/>
      <c r="C87" s="72" t="str">
        <f>'Output function - DA'!P91</f>
        <v/>
      </c>
      <c r="D87" s="73"/>
      <c r="E87" s="73"/>
      <c r="F87" s="73"/>
      <c r="G87" s="73"/>
      <c r="H87" s="74"/>
      <c r="I87" s="72" t="str">
        <f>'Output function - DA'!P119</f>
        <v/>
      </c>
      <c r="J87" s="73"/>
      <c r="K87" s="73"/>
      <c r="L87" s="73"/>
      <c r="M87" s="74"/>
    </row>
    <row r="88" spans="2:13" x14ac:dyDescent="0.25">
      <c r="B88" s="67"/>
      <c r="C88" s="72" t="str">
        <f>'Output function - DA'!P92</f>
        <v/>
      </c>
      <c r="D88" s="73"/>
      <c r="E88" s="73"/>
      <c r="F88" s="73"/>
      <c r="G88" s="73"/>
      <c r="H88" s="74"/>
      <c r="I88" s="72" t="str">
        <f>'Output function - DA'!P120</f>
        <v/>
      </c>
      <c r="J88" s="73"/>
      <c r="K88" s="73"/>
      <c r="L88" s="73"/>
      <c r="M88" s="74"/>
    </row>
    <row r="89" spans="2:13" x14ac:dyDescent="0.25">
      <c r="B89" s="67"/>
      <c r="C89" s="72" t="str">
        <f>'Output function - DA'!P93</f>
        <v/>
      </c>
      <c r="D89" s="73"/>
      <c r="E89" s="73"/>
      <c r="F89" s="73"/>
      <c r="G89" s="73"/>
      <c r="H89" s="74"/>
      <c r="I89" s="72" t="str">
        <f>'Output function - DA'!P121</f>
        <v/>
      </c>
      <c r="J89" s="73"/>
      <c r="K89" s="73"/>
      <c r="L89" s="73"/>
      <c r="M89" s="74"/>
    </row>
    <row r="90" spans="2:13" x14ac:dyDescent="0.25">
      <c r="B90" s="68"/>
      <c r="C90" s="75" t="str">
        <f>'Output function - DA'!P94</f>
        <v/>
      </c>
      <c r="D90" s="76"/>
      <c r="E90" s="76"/>
      <c r="F90" s="76"/>
      <c r="G90" s="76"/>
      <c r="H90" s="77"/>
      <c r="I90" s="72" t="str">
        <f>'Output function - DA'!P122</f>
        <v/>
      </c>
      <c r="J90" s="73"/>
      <c r="K90" s="73"/>
      <c r="L90" s="73"/>
      <c r="M90" s="74"/>
    </row>
    <row r="91" spans="2:13" x14ac:dyDescent="0.25">
      <c r="B91" s="66" t="s">
        <v>88</v>
      </c>
      <c r="C91" s="54" t="str">
        <f>'Output function - DA'!Q76</f>
        <v>Frame: 54 ----- Stem: 90x0  ----- Carbon Aerobar + 30  with reach: -10 mm</v>
      </c>
      <c r="D91" s="55"/>
      <c r="E91" s="55"/>
      <c r="F91" s="55"/>
      <c r="G91" s="55"/>
      <c r="H91" s="56"/>
      <c r="I91" s="52" t="str">
        <f>'Output function - DA'!Q104</f>
        <v xml:space="preserve">Aerobar Bolts: Top 25mm; Bottom 30mm </v>
      </c>
      <c r="J91" s="52"/>
      <c r="K91" s="52"/>
      <c r="L91" s="52"/>
      <c r="M91" s="53"/>
    </row>
    <row r="92" spans="2:13" x14ac:dyDescent="0.25">
      <c r="B92" s="67"/>
      <c r="C92" s="54" t="str">
        <f>'Output function - DA'!Q77</f>
        <v>Frame: 54 ----- Stem: 110x0  ----- Carbon Aerobar + 30  with reach: -30 mm</v>
      </c>
      <c r="D92" s="55"/>
      <c r="E92" s="55"/>
      <c r="F92" s="55"/>
      <c r="G92" s="55"/>
      <c r="H92" s="56"/>
      <c r="I92" s="58" t="str">
        <f>'Output function - DA'!Q105</f>
        <v xml:space="preserve">Aerobar Bolts: Top 25mm; Bottom 30mm </v>
      </c>
      <c r="J92" s="58"/>
      <c r="K92" s="58"/>
      <c r="L92" s="58"/>
      <c r="M92" s="59"/>
    </row>
    <row r="93" spans="2:13" x14ac:dyDescent="0.25">
      <c r="B93" s="67"/>
      <c r="C93" s="54" t="str">
        <f>'Output function - DA'!Q78</f>
        <v>Frame: 51 ----- Stem: 90x0  ----- Carbon Aerobar + 30 + bridge + 5  with reach: 10 mm</v>
      </c>
      <c r="D93" s="55"/>
      <c r="E93" s="55"/>
      <c r="F93" s="55"/>
      <c r="G93" s="55"/>
      <c r="H93" s="56"/>
      <c r="I93" s="58" t="str">
        <f>'Output function - DA'!Q106</f>
        <v xml:space="preserve">Aerobar Bolts: Top 35mm; Bottom 30mm </v>
      </c>
      <c r="J93" s="58"/>
      <c r="K93" s="58"/>
      <c r="L93" s="58"/>
      <c r="M93" s="59"/>
    </row>
    <row r="94" spans="2:13" x14ac:dyDescent="0.25">
      <c r="B94" s="67"/>
      <c r="C94" s="54" t="str">
        <f>'Output function - DA'!Q79</f>
        <v>Frame: 51 ----- Stem: 110x0  ----- Carbon Aerobar + 30 + bridge + 5  with reach: -10 mm</v>
      </c>
      <c r="D94" s="55"/>
      <c r="E94" s="55"/>
      <c r="F94" s="55"/>
      <c r="G94" s="55"/>
      <c r="H94" s="56"/>
      <c r="I94" s="58" t="str">
        <f>'Output function - DA'!Q107</f>
        <v xml:space="preserve">Aerobar Bolts: Top 35mm; Bottom 30mm </v>
      </c>
      <c r="J94" s="58"/>
      <c r="K94" s="58"/>
      <c r="L94" s="58"/>
      <c r="M94" s="59"/>
    </row>
    <row r="95" spans="2:13" x14ac:dyDescent="0.25">
      <c r="B95" s="67"/>
      <c r="C95" s="54" t="str">
        <f>'Output function - DA'!Q80</f>
        <v>Frame: 47 ----- Stem: 100x60  ----- Carbon Aerobar + 30 + bridge  with reach: 25 mm</v>
      </c>
      <c r="D95" s="55"/>
      <c r="E95" s="55"/>
      <c r="F95" s="55"/>
      <c r="G95" s="55"/>
      <c r="H95" s="56"/>
      <c r="I95" s="58" t="str">
        <f>'Output function - DA'!Q108</f>
        <v xml:space="preserve">Aerobar Bolts: Top 30mm; Bottom 30mm </v>
      </c>
      <c r="J95" s="58"/>
      <c r="K95" s="58"/>
      <c r="L95" s="58"/>
      <c r="M95" s="59"/>
    </row>
    <row r="96" spans="2:13" x14ac:dyDescent="0.25">
      <c r="B96" s="67"/>
      <c r="C96" s="54" t="str">
        <f>'Output function - DA'!Q81</f>
        <v/>
      </c>
      <c r="D96" s="55"/>
      <c r="E96" s="55"/>
      <c r="F96" s="55"/>
      <c r="G96" s="55"/>
      <c r="H96" s="56"/>
      <c r="I96" s="58" t="str">
        <f>'Output function - DA'!Q109</f>
        <v/>
      </c>
      <c r="J96" s="58"/>
      <c r="K96" s="58"/>
      <c r="L96" s="58"/>
      <c r="M96" s="59"/>
    </row>
    <row r="97" spans="2:13" x14ac:dyDescent="0.25">
      <c r="B97" s="67"/>
      <c r="C97" s="54" t="str">
        <f>'Output function - DA'!Q82</f>
        <v/>
      </c>
      <c r="D97" s="55"/>
      <c r="E97" s="55"/>
      <c r="F97" s="55"/>
      <c r="G97" s="55"/>
      <c r="H97" s="56"/>
      <c r="I97" s="58" t="str">
        <f>'Output function - DA'!Q110</f>
        <v/>
      </c>
      <c r="J97" s="58"/>
      <c r="K97" s="58"/>
      <c r="L97" s="58"/>
      <c r="M97" s="59"/>
    </row>
    <row r="98" spans="2:13" x14ac:dyDescent="0.25">
      <c r="B98" s="67"/>
      <c r="C98" s="54" t="str">
        <f>'Output function - DA'!Q83</f>
        <v/>
      </c>
      <c r="D98" s="55"/>
      <c r="E98" s="55"/>
      <c r="F98" s="55"/>
      <c r="G98" s="55"/>
      <c r="H98" s="56"/>
      <c r="I98" s="58" t="str">
        <f>'Output function - DA'!Q111</f>
        <v/>
      </c>
      <c r="J98" s="58"/>
      <c r="K98" s="58"/>
      <c r="L98" s="58"/>
      <c r="M98" s="59"/>
    </row>
    <row r="99" spans="2:13" x14ac:dyDescent="0.25">
      <c r="B99" s="67"/>
      <c r="C99" s="54" t="str">
        <f>'Output function - DA'!Q84</f>
        <v/>
      </c>
      <c r="D99" s="55"/>
      <c r="E99" s="55"/>
      <c r="F99" s="55"/>
      <c r="G99" s="55"/>
      <c r="H99" s="56"/>
      <c r="I99" s="58" t="str">
        <f>'Output function - DA'!Q112</f>
        <v/>
      </c>
      <c r="J99" s="58"/>
      <c r="K99" s="58"/>
      <c r="L99" s="58"/>
      <c r="M99" s="59"/>
    </row>
    <row r="100" spans="2:13" x14ac:dyDescent="0.25">
      <c r="B100" s="68"/>
      <c r="C100" s="60" t="str">
        <f>'Output function - DA'!Q85</f>
        <v/>
      </c>
      <c r="D100" s="61"/>
      <c r="E100" s="61"/>
      <c r="F100" s="61"/>
      <c r="G100" s="61"/>
      <c r="H100" s="62"/>
      <c r="I100" s="64" t="str">
        <f>'Output function - DA'!Q113</f>
        <v/>
      </c>
      <c r="J100" s="64"/>
      <c r="K100" s="64"/>
      <c r="L100" s="64"/>
      <c r="M100" s="65"/>
    </row>
    <row r="101" spans="2:13" ht="15.75" customHeight="1" x14ac:dyDescent="0.25">
      <c r="B101" s="66" t="s">
        <v>103</v>
      </c>
      <c r="C101" s="39" t="str">
        <f>'Output function - DA'!R76</f>
        <v>Frame: 47 ----- Stem: 70x30  ----- Aluminium Aerobar + 40 + bridge + 5  with reach: 45 mm</v>
      </c>
      <c r="D101" s="40"/>
      <c r="E101" s="40"/>
      <c r="F101" s="40"/>
      <c r="G101" s="40"/>
      <c r="H101" s="41"/>
      <c r="I101" s="37" t="str">
        <f>'Output function - DA'!R104</f>
        <v xml:space="preserve">Aerobar Bolts: Top 35mm; Bottom 15mm </v>
      </c>
      <c r="J101" s="37"/>
      <c r="K101" s="37"/>
      <c r="L101" s="37"/>
      <c r="M101" s="38"/>
    </row>
    <row r="102" spans="2:13" ht="15.75" customHeight="1" x14ac:dyDescent="0.25">
      <c r="B102" s="67"/>
      <c r="C102" s="42" t="str">
        <f>'Output function - DA'!R77</f>
        <v>Frame: 47 ----- Stem: 100x30  ----- Aluminium Aerobar + 40 + bridge + 5  with reach: 15 mm</v>
      </c>
      <c r="D102" s="43"/>
      <c r="E102" s="43"/>
      <c r="F102" s="43"/>
      <c r="G102" s="43"/>
      <c r="H102" s="44"/>
      <c r="I102" s="27" t="str">
        <f>'Output function - DA'!R105</f>
        <v xml:space="preserve">Aerobar Bolts: Top 35mm; Bottom 15mm </v>
      </c>
      <c r="J102" s="27"/>
      <c r="K102" s="27"/>
      <c r="L102" s="27"/>
      <c r="M102" s="28"/>
    </row>
    <row r="103" spans="2:13" ht="15.75" customHeight="1" x14ac:dyDescent="0.25">
      <c r="B103" s="67"/>
      <c r="C103" s="42" t="str">
        <f>'Output function - DA'!R78</f>
        <v/>
      </c>
      <c r="D103" s="43"/>
      <c r="E103" s="43"/>
      <c r="F103" s="43"/>
      <c r="G103" s="43"/>
      <c r="H103" s="44"/>
      <c r="I103" s="27" t="str">
        <f>'Output function - DA'!R106</f>
        <v/>
      </c>
      <c r="J103" s="27"/>
      <c r="K103" s="27"/>
      <c r="L103" s="27"/>
      <c r="M103" s="28"/>
    </row>
    <row r="104" spans="2:13" ht="15.75" customHeight="1" x14ac:dyDescent="0.25">
      <c r="B104" s="67"/>
      <c r="C104" s="42" t="str">
        <f>'Output function - DA'!R79</f>
        <v/>
      </c>
      <c r="D104" s="43"/>
      <c r="E104" s="43"/>
      <c r="F104" s="43"/>
      <c r="G104" s="43"/>
      <c r="H104" s="44"/>
      <c r="I104" s="27" t="str">
        <f>'Output function - DA'!R107</f>
        <v/>
      </c>
      <c r="J104" s="27"/>
      <c r="K104" s="27"/>
      <c r="L104" s="27"/>
      <c r="M104" s="28"/>
    </row>
    <row r="105" spans="2:13" ht="15.75" customHeight="1" x14ac:dyDescent="0.25">
      <c r="B105" s="67"/>
      <c r="C105" s="42" t="str">
        <f>'Output function - DA'!R80</f>
        <v/>
      </c>
      <c r="D105" s="43"/>
      <c r="E105" s="43"/>
      <c r="F105" s="43"/>
      <c r="G105" s="43"/>
      <c r="H105" s="44"/>
      <c r="I105" s="27" t="str">
        <f>'Output function - DA'!R108</f>
        <v/>
      </c>
      <c r="J105" s="27"/>
      <c r="K105" s="27"/>
      <c r="L105" s="27"/>
      <c r="M105" s="28"/>
    </row>
    <row r="106" spans="2:13" ht="15.75" customHeight="1" x14ac:dyDescent="0.25">
      <c r="B106" s="67"/>
      <c r="C106" s="42" t="str">
        <f>'Output function - DA'!R81</f>
        <v/>
      </c>
      <c r="D106" s="43"/>
      <c r="E106" s="43"/>
      <c r="F106" s="43"/>
      <c r="G106" s="43"/>
      <c r="H106" s="44"/>
      <c r="I106" s="27" t="str">
        <f>'Output function - DA'!R109</f>
        <v/>
      </c>
      <c r="J106" s="27"/>
      <c r="K106" s="27"/>
      <c r="L106" s="27"/>
      <c r="M106" s="28"/>
    </row>
    <row r="107" spans="2:13" ht="15.75" customHeight="1" x14ac:dyDescent="0.25">
      <c r="B107" s="67"/>
      <c r="C107" s="29" t="str">
        <f>'Output function - DA'!R82</f>
        <v/>
      </c>
      <c r="D107" s="30"/>
      <c r="E107" s="30"/>
      <c r="F107" s="30"/>
      <c r="G107" s="30"/>
      <c r="H107" s="31"/>
      <c r="I107" s="27" t="str">
        <f>'Output function - DA'!R110</f>
        <v/>
      </c>
      <c r="J107" s="27"/>
      <c r="K107" s="27"/>
      <c r="L107" s="27"/>
      <c r="M107" s="28"/>
    </row>
    <row r="108" spans="2:13" ht="15.75" customHeight="1" x14ac:dyDescent="0.25">
      <c r="B108" s="67"/>
      <c r="C108" s="29" t="str">
        <f>'Output function - DA'!R83</f>
        <v/>
      </c>
      <c r="D108" s="30"/>
      <c r="E108" s="30"/>
      <c r="F108" s="30"/>
      <c r="G108" s="30"/>
      <c r="H108" s="31"/>
      <c r="I108" s="27" t="str">
        <f>'Output function - DA'!R111</f>
        <v/>
      </c>
      <c r="J108" s="27"/>
      <c r="K108" s="27"/>
      <c r="L108" s="27"/>
      <c r="M108" s="28"/>
    </row>
    <row r="109" spans="2:13" ht="15.75" customHeight="1" x14ac:dyDescent="0.25">
      <c r="B109" s="67"/>
      <c r="C109" s="29" t="str">
        <f>'Output function - DA'!R84</f>
        <v/>
      </c>
      <c r="D109" s="30"/>
      <c r="E109" s="30"/>
      <c r="F109" s="30"/>
      <c r="G109" s="30"/>
      <c r="H109" s="31"/>
      <c r="I109" s="27" t="str">
        <f>'Output function - DA'!R112</f>
        <v/>
      </c>
      <c r="J109" s="27"/>
      <c r="K109" s="27"/>
      <c r="L109" s="27"/>
      <c r="M109" s="28"/>
    </row>
    <row r="110" spans="2:13" ht="15.75" customHeight="1" x14ac:dyDescent="0.25">
      <c r="B110" s="68"/>
      <c r="C110" s="32" t="str">
        <f>'Output function - DA'!R85</f>
        <v/>
      </c>
      <c r="D110" s="33"/>
      <c r="E110" s="33"/>
      <c r="F110" s="33"/>
      <c r="G110" s="33"/>
      <c r="H110" s="34"/>
      <c r="I110" s="35" t="str">
        <f>'Output function - DA'!R113</f>
        <v/>
      </c>
      <c r="J110" s="35"/>
      <c r="K110" s="35"/>
      <c r="L110" s="35"/>
      <c r="M110" s="36"/>
    </row>
    <row r="111" spans="2:13" x14ac:dyDescent="0.25"/>
    <row r="112" spans="2:13" x14ac:dyDescent="0.25"/>
    <row r="113" x14ac:dyDescent="0.25"/>
  </sheetData>
  <sheetProtection password="D69B" sheet="1" objects="1" scenarios="1" selectLockedCells="1"/>
  <mergeCells count="194">
    <mergeCell ref="C74:H74"/>
    <mergeCell ref="C75:H75"/>
    <mergeCell ref="I32:M32"/>
    <mergeCell ref="I33:M33"/>
    <mergeCell ref="C57:H57"/>
    <mergeCell ref="C58:H58"/>
    <mergeCell ref="C59:H59"/>
    <mergeCell ref="C60:H60"/>
    <mergeCell ref="C2:L2"/>
    <mergeCell ref="I17:M17"/>
    <mergeCell ref="I18:M18"/>
    <mergeCell ref="I19:M19"/>
    <mergeCell ref="B91:B100"/>
    <mergeCell ref="C95:H95"/>
    <mergeCell ref="C76:H76"/>
    <mergeCell ref="C77:H77"/>
    <mergeCell ref="C35:H35"/>
    <mergeCell ref="C36:H36"/>
    <mergeCell ref="C23:H23"/>
    <mergeCell ref="B2:B4"/>
    <mergeCell ref="B5:B8"/>
    <mergeCell ref="C8:M8"/>
    <mergeCell ref="C91:H91"/>
    <mergeCell ref="C92:H92"/>
    <mergeCell ref="C93:H93"/>
    <mergeCell ref="C94:H94"/>
    <mergeCell ref="C72:H72"/>
    <mergeCell ref="C73:H73"/>
    <mergeCell ref="C3:M3"/>
    <mergeCell ref="C5:M5"/>
    <mergeCell ref="C6:M6"/>
    <mergeCell ref="C7:M7"/>
    <mergeCell ref="I76:M76"/>
    <mergeCell ref="I77:M77"/>
    <mergeCell ref="I78:M78"/>
    <mergeCell ref="C12:D14"/>
    <mergeCell ref="E12:F14"/>
    <mergeCell ref="E11:F11"/>
    <mergeCell ref="I20:M20"/>
    <mergeCell ref="I21:M21"/>
    <mergeCell ref="I22:M22"/>
    <mergeCell ref="I25:M25"/>
    <mergeCell ref="I26:M26"/>
    <mergeCell ref="G11:H11"/>
    <mergeCell ref="G12:H14"/>
    <mergeCell ref="C24:H24"/>
    <mergeCell ref="C9:M9"/>
    <mergeCell ref="C16:H16"/>
    <mergeCell ref="I16:M16"/>
    <mergeCell ref="C71:H71"/>
    <mergeCell ref="I71:M71"/>
    <mergeCell ref="C39:H39"/>
    <mergeCell ref="I97:M97"/>
    <mergeCell ref="I98:M98"/>
    <mergeCell ref="I99:M99"/>
    <mergeCell ref="I100:M100"/>
    <mergeCell ref="I82:M82"/>
    <mergeCell ref="I90:M90"/>
    <mergeCell ref="I91:M91"/>
    <mergeCell ref="I92:M92"/>
    <mergeCell ref="I93:M93"/>
    <mergeCell ref="I94:M94"/>
    <mergeCell ref="I86:M86"/>
    <mergeCell ref="I87:M87"/>
    <mergeCell ref="I89:M89"/>
    <mergeCell ref="B11:B14"/>
    <mergeCell ref="B17:B25"/>
    <mergeCell ref="B26:B33"/>
    <mergeCell ref="B34:B41"/>
    <mergeCell ref="B72:B90"/>
    <mergeCell ref="I79:M79"/>
    <mergeCell ref="I80:M80"/>
    <mergeCell ref="I81:M81"/>
    <mergeCell ref="I40:M40"/>
    <mergeCell ref="I41:M41"/>
    <mergeCell ref="I72:M72"/>
    <mergeCell ref="I73:M73"/>
    <mergeCell ref="I74:M74"/>
    <mergeCell ref="I75:M75"/>
    <mergeCell ref="I34:M34"/>
    <mergeCell ref="I35:M35"/>
    <mergeCell ref="I36:M36"/>
    <mergeCell ref="I56:M56"/>
    <mergeCell ref="I57:M57"/>
    <mergeCell ref="I58:M58"/>
    <mergeCell ref="I59:M59"/>
    <mergeCell ref="I60:M60"/>
    <mergeCell ref="C32:H32"/>
    <mergeCell ref="C33:H33"/>
    <mergeCell ref="C97:H97"/>
    <mergeCell ref="C98:H98"/>
    <mergeCell ref="C99:H99"/>
    <mergeCell ref="C100:H100"/>
    <mergeCell ref="C78:H78"/>
    <mergeCell ref="C79:H79"/>
    <mergeCell ref="C80:H80"/>
    <mergeCell ref="C81:H81"/>
    <mergeCell ref="C82:H82"/>
    <mergeCell ref="C88:H88"/>
    <mergeCell ref="C86:H86"/>
    <mergeCell ref="C87:H87"/>
    <mergeCell ref="C89:H89"/>
    <mergeCell ref="C90:H90"/>
    <mergeCell ref="C40:H40"/>
    <mergeCell ref="C41:H41"/>
    <mergeCell ref="I39:M39"/>
    <mergeCell ref="I29:M29"/>
    <mergeCell ref="I30:M30"/>
    <mergeCell ref="I31:M31"/>
    <mergeCell ref="I95:M95"/>
    <mergeCell ref="I96:M96"/>
    <mergeCell ref="I88:M88"/>
    <mergeCell ref="C83:H83"/>
    <mergeCell ref="C84:H84"/>
    <mergeCell ref="C85:H85"/>
    <mergeCell ref="I83:M83"/>
    <mergeCell ref="I84:M84"/>
    <mergeCell ref="I85:M85"/>
    <mergeCell ref="C37:H37"/>
    <mergeCell ref="C38:H38"/>
    <mergeCell ref="I53:M53"/>
    <mergeCell ref="C54:H54"/>
    <mergeCell ref="I54:M54"/>
    <mergeCell ref="C55:H55"/>
    <mergeCell ref="I55:M55"/>
    <mergeCell ref="C96:H96"/>
    <mergeCell ref="C56:H56"/>
    <mergeCell ref="B53:B60"/>
    <mergeCell ref="C53:H53"/>
    <mergeCell ref="C17:H17"/>
    <mergeCell ref="C18:H18"/>
    <mergeCell ref="C19:H19"/>
    <mergeCell ref="C20:H20"/>
    <mergeCell ref="C21:H21"/>
    <mergeCell ref="C22:H22"/>
    <mergeCell ref="I37:M37"/>
    <mergeCell ref="I38:M38"/>
    <mergeCell ref="C25:H25"/>
    <mergeCell ref="I23:M23"/>
    <mergeCell ref="I24:M24"/>
    <mergeCell ref="I27:M27"/>
    <mergeCell ref="C26:H26"/>
    <mergeCell ref="C27:H27"/>
    <mergeCell ref="C28:H28"/>
    <mergeCell ref="I28:M28"/>
    <mergeCell ref="C29:H29"/>
    <mergeCell ref="C30:H30"/>
    <mergeCell ref="C31:H31"/>
    <mergeCell ref="C34:H34"/>
    <mergeCell ref="C43:H43"/>
    <mergeCell ref="I43:M43"/>
    <mergeCell ref="B44:B52"/>
    <mergeCell ref="C44:H44"/>
    <mergeCell ref="I44:M44"/>
    <mergeCell ref="C45:H45"/>
    <mergeCell ref="I45:M45"/>
    <mergeCell ref="C46:H46"/>
    <mergeCell ref="I46:M46"/>
    <mergeCell ref="C47:H47"/>
    <mergeCell ref="I47:M47"/>
    <mergeCell ref="C48:H48"/>
    <mergeCell ref="I48:M48"/>
    <mergeCell ref="C49:H49"/>
    <mergeCell ref="I49:M49"/>
    <mergeCell ref="C50:H50"/>
    <mergeCell ref="I50:M50"/>
    <mergeCell ref="C51:H51"/>
    <mergeCell ref="I51:M51"/>
    <mergeCell ref="C52:H52"/>
    <mergeCell ref="I52:M52"/>
    <mergeCell ref="C101:H101"/>
    <mergeCell ref="C102:H102"/>
    <mergeCell ref="C103:H103"/>
    <mergeCell ref="C104:H104"/>
    <mergeCell ref="C105:H105"/>
    <mergeCell ref="C106:H106"/>
    <mergeCell ref="B61:B68"/>
    <mergeCell ref="C61:H61"/>
    <mergeCell ref="I61:M61"/>
    <mergeCell ref="C62:H62"/>
    <mergeCell ref="I62:M62"/>
    <mergeCell ref="C63:H63"/>
    <mergeCell ref="I63:M63"/>
    <mergeCell ref="C64:H64"/>
    <mergeCell ref="I64:M64"/>
    <mergeCell ref="C65:H65"/>
    <mergeCell ref="I65:M65"/>
    <mergeCell ref="C66:H66"/>
    <mergeCell ref="I66:M66"/>
    <mergeCell ref="C67:H67"/>
    <mergeCell ref="I67:M67"/>
    <mergeCell ref="C68:H68"/>
    <mergeCell ref="I68:M68"/>
    <mergeCell ref="B101:B110"/>
  </mergeCells>
  <conditionalFormatting sqref="I17">
    <cfRule type="containsText" dxfId="439" priority="892" operator="containsText" text="XS">
      <formula>NOT(ISERROR(SEARCH("XS",I17)))</formula>
    </cfRule>
    <cfRule type="containsText" dxfId="438" priority="893" operator="containsText" text="Small">
      <formula>NOT(ISERROR(SEARCH("Small",I17)))</formula>
    </cfRule>
    <cfRule type="containsText" dxfId="437" priority="894" operator="containsText" text="Medium">
      <formula>NOT(ISERROR(SEARCH("Medium",I17)))</formula>
    </cfRule>
    <cfRule type="containsText" dxfId="436" priority="895" operator="containsText" text="Large">
      <formula>NOT(ISERROR(SEARCH("Large",I17)))</formula>
    </cfRule>
    <cfRule type="containsText" dxfId="435" priority="896" operator="containsText" text="XL">
      <formula>NOT(ISERROR(SEARCH("XL",I17)))</formula>
    </cfRule>
  </conditionalFormatting>
  <conditionalFormatting sqref="C72 C91 C101">
    <cfRule type="containsText" dxfId="434" priority="887" operator="containsText" text="47">
      <formula>NOT(ISERROR(SEARCH("47",C72)))</formula>
    </cfRule>
    <cfRule type="containsText" dxfId="433" priority="888" operator="containsText" text="51">
      <formula>NOT(ISERROR(SEARCH("51",C72)))</formula>
    </cfRule>
    <cfRule type="containsText" dxfId="432" priority="889" operator="containsText" text="54">
      <formula>NOT(ISERROR(SEARCH("54",C72)))</formula>
    </cfRule>
    <cfRule type="containsText" dxfId="431" priority="890" operator="containsText" text="56">
      <formula>NOT(ISERROR(SEARCH("56",C72)))</formula>
    </cfRule>
    <cfRule type="containsText" dxfId="430" priority="891" operator="containsText" text="58">
      <formula>NOT(ISERROR(SEARCH("58",C72)))</formula>
    </cfRule>
  </conditionalFormatting>
  <conditionalFormatting sqref="I18">
    <cfRule type="containsText" dxfId="429" priority="461" operator="containsText" text="XS">
      <formula>NOT(ISERROR(SEARCH("XS",I18)))</formula>
    </cfRule>
    <cfRule type="containsText" dxfId="428" priority="462" operator="containsText" text="Small">
      <formula>NOT(ISERROR(SEARCH("Small",I18)))</formula>
    </cfRule>
    <cfRule type="containsText" dxfId="427" priority="463" operator="containsText" text="Medium">
      <formula>NOT(ISERROR(SEARCH("Medium",I18)))</formula>
    </cfRule>
    <cfRule type="containsText" dxfId="426" priority="464" operator="containsText" text="Large">
      <formula>NOT(ISERROR(SEARCH("Large",I18)))</formula>
    </cfRule>
    <cfRule type="containsText" dxfId="425" priority="465" operator="containsText" text="XL">
      <formula>NOT(ISERROR(SEARCH("XL",I18)))</formula>
    </cfRule>
  </conditionalFormatting>
  <conditionalFormatting sqref="I19">
    <cfRule type="containsText" dxfId="424" priority="456" operator="containsText" text="XS">
      <formula>NOT(ISERROR(SEARCH("XS",I19)))</formula>
    </cfRule>
    <cfRule type="containsText" dxfId="423" priority="457" operator="containsText" text="Small">
      <formula>NOT(ISERROR(SEARCH("Small",I19)))</formula>
    </cfRule>
    <cfRule type="containsText" dxfId="422" priority="458" operator="containsText" text="Medium">
      <formula>NOT(ISERROR(SEARCH("Medium",I19)))</formula>
    </cfRule>
    <cfRule type="containsText" dxfId="421" priority="459" operator="containsText" text="Large">
      <formula>NOT(ISERROR(SEARCH("Large",I19)))</formula>
    </cfRule>
    <cfRule type="containsText" dxfId="420" priority="460" operator="containsText" text="XL">
      <formula>NOT(ISERROR(SEARCH("XL",I19)))</formula>
    </cfRule>
  </conditionalFormatting>
  <conditionalFormatting sqref="I20">
    <cfRule type="containsText" dxfId="419" priority="451" operator="containsText" text="XS">
      <formula>NOT(ISERROR(SEARCH("XS",I20)))</formula>
    </cfRule>
    <cfRule type="containsText" dxfId="418" priority="452" operator="containsText" text="Small">
      <formula>NOT(ISERROR(SEARCH("Small",I20)))</formula>
    </cfRule>
    <cfRule type="containsText" dxfId="417" priority="453" operator="containsText" text="Medium">
      <formula>NOT(ISERROR(SEARCH("Medium",I20)))</formula>
    </cfRule>
    <cfRule type="containsText" dxfId="416" priority="454" operator="containsText" text="Large">
      <formula>NOT(ISERROR(SEARCH("Large",I20)))</formula>
    </cfRule>
    <cfRule type="containsText" dxfId="415" priority="455" operator="containsText" text="XL">
      <formula>NOT(ISERROR(SEARCH("XL",I20)))</formula>
    </cfRule>
  </conditionalFormatting>
  <conditionalFormatting sqref="I21">
    <cfRule type="containsText" dxfId="414" priority="446" operator="containsText" text="XS">
      <formula>NOT(ISERROR(SEARCH("XS",I21)))</formula>
    </cfRule>
    <cfRule type="containsText" dxfId="413" priority="447" operator="containsText" text="Small">
      <formula>NOT(ISERROR(SEARCH("Small",I21)))</formula>
    </cfRule>
    <cfRule type="containsText" dxfId="412" priority="448" operator="containsText" text="Medium">
      <formula>NOT(ISERROR(SEARCH("Medium",I21)))</formula>
    </cfRule>
    <cfRule type="containsText" dxfId="411" priority="449" operator="containsText" text="Large">
      <formula>NOT(ISERROR(SEARCH("Large",I21)))</formula>
    </cfRule>
    <cfRule type="containsText" dxfId="410" priority="450" operator="containsText" text="XL">
      <formula>NOT(ISERROR(SEARCH("XL",I21)))</formula>
    </cfRule>
  </conditionalFormatting>
  <conditionalFormatting sqref="I22:I25">
    <cfRule type="containsText" dxfId="409" priority="441" operator="containsText" text="XS">
      <formula>NOT(ISERROR(SEARCH("XS",I22)))</formula>
    </cfRule>
    <cfRule type="containsText" dxfId="408" priority="442" operator="containsText" text="Small">
      <formula>NOT(ISERROR(SEARCH("Small",I22)))</formula>
    </cfRule>
    <cfRule type="containsText" dxfId="407" priority="443" operator="containsText" text="Medium">
      <formula>NOT(ISERROR(SEARCH("Medium",I22)))</formula>
    </cfRule>
    <cfRule type="containsText" dxfId="406" priority="444" operator="containsText" text="Large">
      <formula>NOT(ISERROR(SEARCH("Large",I22)))</formula>
    </cfRule>
    <cfRule type="containsText" dxfId="405" priority="445" operator="containsText" text="XL">
      <formula>NOT(ISERROR(SEARCH("XL",I22)))</formula>
    </cfRule>
  </conditionalFormatting>
  <conditionalFormatting sqref="I73">
    <cfRule type="containsText" dxfId="404" priority="431" operator="containsText" text="XS">
      <formula>NOT(ISERROR(SEARCH("XS",I73)))</formula>
    </cfRule>
    <cfRule type="containsText" dxfId="403" priority="432" operator="containsText" text="Small">
      <formula>NOT(ISERROR(SEARCH("Small",I73)))</formula>
    </cfRule>
    <cfRule type="containsText" dxfId="402" priority="433" operator="containsText" text="Medium">
      <formula>NOT(ISERROR(SEARCH("Medium",I73)))</formula>
    </cfRule>
    <cfRule type="containsText" dxfId="401" priority="434" operator="containsText" text="Large">
      <formula>NOT(ISERROR(SEARCH("Large",I73)))</formula>
    </cfRule>
    <cfRule type="containsText" dxfId="400" priority="435" operator="containsText" text="XL">
      <formula>NOT(ISERROR(SEARCH("XL",I73)))</formula>
    </cfRule>
  </conditionalFormatting>
  <conditionalFormatting sqref="I74">
    <cfRule type="containsText" dxfId="399" priority="426" operator="containsText" text="XS">
      <formula>NOT(ISERROR(SEARCH("XS",I74)))</formula>
    </cfRule>
    <cfRule type="containsText" dxfId="398" priority="427" operator="containsText" text="Small">
      <formula>NOT(ISERROR(SEARCH("Small",I74)))</formula>
    </cfRule>
    <cfRule type="containsText" dxfId="397" priority="428" operator="containsText" text="Medium">
      <formula>NOT(ISERROR(SEARCH("Medium",I74)))</formula>
    </cfRule>
    <cfRule type="containsText" dxfId="396" priority="429" operator="containsText" text="Large">
      <formula>NOT(ISERROR(SEARCH("Large",I74)))</formula>
    </cfRule>
    <cfRule type="containsText" dxfId="395" priority="430" operator="containsText" text="XL">
      <formula>NOT(ISERROR(SEARCH("XL",I74)))</formula>
    </cfRule>
  </conditionalFormatting>
  <conditionalFormatting sqref="I75">
    <cfRule type="containsText" dxfId="394" priority="421" operator="containsText" text="XS">
      <formula>NOT(ISERROR(SEARCH("XS",I75)))</formula>
    </cfRule>
    <cfRule type="containsText" dxfId="393" priority="422" operator="containsText" text="Small">
      <formula>NOT(ISERROR(SEARCH("Small",I75)))</formula>
    </cfRule>
    <cfRule type="containsText" dxfId="392" priority="423" operator="containsText" text="Medium">
      <formula>NOT(ISERROR(SEARCH("Medium",I75)))</formula>
    </cfRule>
    <cfRule type="containsText" dxfId="391" priority="424" operator="containsText" text="Large">
      <formula>NOT(ISERROR(SEARCH("Large",I75)))</formula>
    </cfRule>
    <cfRule type="containsText" dxfId="390" priority="425" operator="containsText" text="XL">
      <formula>NOT(ISERROR(SEARCH("XL",I75)))</formula>
    </cfRule>
  </conditionalFormatting>
  <conditionalFormatting sqref="I76">
    <cfRule type="containsText" dxfId="389" priority="416" operator="containsText" text="XS">
      <formula>NOT(ISERROR(SEARCH("XS",I76)))</formula>
    </cfRule>
    <cfRule type="containsText" dxfId="388" priority="417" operator="containsText" text="Small">
      <formula>NOT(ISERROR(SEARCH("Small",I76)))</formula>
    </cfRule>
    <cfRule type="containsText" dxfId="387" priority="418" operator="containsText" text="Medium">
      <formula>NOT(ISERROR(SEARCH("Medium",I76)))</formula>
    </cfRule>
    <cfRule type="containsText" dxfId="386" priority="419" operator="containsText" text="Large">
      <formula>NOT(ISERROR(SEARCH("Large",I76)))</formula>
    </cfRule>
    <cfRule type="containsText" dxfId="385" priority="420" operator="containsText" text="XL">
      <formula>NOT(ISERROR(SEARCH("XL",I76)))</formula>
    </cfRule>
  </conditionalFormatting>
  <conditionalFormatting sqref="I77">
    <cfRule type="containsText" dxfId="384" priority="411" operator="containsText" text="XS">
      <formula>NOT(ISERROR(SEARCH("XS",I77)))</formula>
    </cfRule>
    <cfRule type="containsText" dxfId="383" priority="412" operator="containsText" text="Small">
      <formula>NOT(ISERROR(SEARCH("Small",I77)))</formula>
    </cfRule>
    <cfRule type="containsText" dxfId="382" priority="413" operator="containsText" text="Medium">
      <formula>NOT(ISERROR(SEARCH("Medium",I77)))</formula>
    </cfRule>
    <cfRule type="containsText" dxfId="381" priority="414" operator="containsText" text="Large">
      <formula>NOT(ISERROR(SEARCH("Large",I77)))</formula>
    </cfRule>
    <cfRule type="containsText" dxfId="380" priority="415" operator="containsText" text="XL">
      <formula>NOT(ISERROR(SEARCH("XL",I77)))</formula>
    </cfRule>
  </conditionalFormatting>
  <conditionalFormatting sqref="I78">
    <cfRule type="containsText" dxfId="379" priority="406" operator="containsText" text="XS">
      <formula>NOT(ISERROR(SEARCH("XS",I78)))</formula>
    </cfRule>
    <cfRule type="containsText" dxfId="378" priority="407" operator="containsText" text="Small">
      <formula>NOT(ISERROR(SEARCH("Small",I78)))</formula>
    </cfRule>
    <cfRule type="containsText" dxfId="377" priority="408" operator="containsText" text="Medium">
      <formula>NOT(ISERROR(SEARCH("Medium",I78)))</formula>
    </cfRule>
    <cfRule type="containsText" dxfId="376" priority="409" operator="containsText" text="Large">
      <formula>NOT(ISERROR(SEARCH("Large",I78)))</formula>
    </cfRule>
    <cfRule type="containsText" dxfId="375" priority="410" operator="containsText" text="XL">
      <formula>NOT(ISERROR(SEARCH("XL",I78)))</formula>
    </cfRule>
  </conditionalFormatting>
  <conditionalFormatting sqref="I79">
    <cfRule type="containsText" dxfId="374" priority="401" operator="containsText" text="XS">
      <formula>NOT(ISERROR(SEARCH("XS",I79)))</formula>
    </cfRule>
    <cfRule type="containsText" dxfId="373" priority="402" operator="containsText" text="Small">
      <formula>NOT(ISERROR(SEARCH("Small",I79)))</formula>
    </cfRule>
    <cfRule type="containsText" dxfId="372" priority="403" operator="containsText" text="Medium">
      <formula>NOT(ISERROR(SEARCH("Medium",I79)))</formula>
    </cfRule>
    <cfRule type="containsText" dxfId="371" priority="404" operator="containsText" text="Large">
      <formula>NOT(ISERROR(SEARCH("Large",I79)))</formula>
    </cfRule>
    <cfRule type="containsText" dxfId="370" priority="405" operator="containsText" text="XL">
      <formula>NOT(ISERROR(SEARCH("XL",I79)))</formula>
    </cfRule>
  </conditionalFormatting>
  <conditionalFormatting sqref="I80">
    <cfRule type="containsText" dxfId="369" priority="396" operator="containsText" text="XS">
      <formula>NOT(ISERROR(SEARCH("XS",I80)))</formula>
    </cfRule>
    <cfRule type="containsText" dxfId="368" priority="397" operator="containsText" text="Small">
      <formula>NOT(ISERROR(SEARCH("Small",I80)))</formula>
    </cfRule>
    <cfRule type="containsText" dxfId="367" priority="398" operator="containsText" text="Medium">
      <formula>NOT(ISERROR(SEARCH("Medium",I80)))</formula>
    </cfRule>
    <cfRule type="containsText" dxfId="366" priority="399" operator="containsText" text="Large">
      <formula>NOT(ISERROR(SEARCH("Large",I80)))</formula>
    </cfRule>
    <cfRule type="containsText" dxfId="365" priority="400" operator="containsText" text="XL">
      <formula>NOT(ISERROR(SEARCH("XL",I80)))</formula>
    </cfRule>
  </conditionalFormatting>
  <conditionalFormatting sqref="I81">
    <cfRule type="containsText" dxfId="364" priority="391" operator="containsText" text="XS">
      <formula>NOT(ISERROR(SEARCH("XS",I81)))</formula>
    </cfRule>
    <cfRule type="containsText" dxfId="363" priority="392" operator="containsText" text="Small">
      <formula>NOT(ISERROR(SEARCH("Small",I81)))</formula>
    </cfRule>
    <cfRule type="containsText" dxfId="362" priority="393" operator="containsText" text="Medium">
      <formula>NOT(ISERROR(SEARCH("Medium",I81)))</formula>
    </cfRule>
    <cfRule type="containsText" dxfId="361" priority="394" operator="containsText" text="Large">
      <formula>NOT(ISERROR(SEARCH("Large",I81)))</formula>
    </cfRule>
    <cfRule type="containsText" dxfId="360" priority="395" operator="containsText" text="XL">
      <formula>NOT(ISERROR(SEARCH("XL",I81)))</formula>
    </cfRule>
  </conditionalFormatting>
  <conditionalFormatting sqref="I82:I90">
    <cfRule type="containsText" dxfId="359" priority="386" operator="containsText" text="XS">
      <formula>NOT(ISERROR(SEARCH("XS",I82)))</formula>
    </cfRule>
    <cfRule type="containsText" dxfId="358" priority="387" operator="containsText" text="Small">
      <formula>NOT(ISERROR(SEARCH("Small",I82)))</formula>
    </cfRule>
    <cfRule type="containsText" dxfId="357" priority="388" operator="containsText" text="Medium">
      <formula>NOT(ISERROR(SEARCH("Medium",I82)))</formula>
    </cfRule>
    <cfRule type="containsText" dxfId="356" priority="389" operator="containsText" text="Large">
      <formula>NOT(ISERROR(SEARCH("Large",I82)))</formula>
    </cfRule>
    <cfRule type="containsText" dxfId="355" priority="390" operator="containsText" text="XL">
      <formula>NOT(ISERROR(SEARCH("XL",I82)))</formula>
    </cfRule>
  </conditionalFormatting>
  <conditionalFormatting sqref="C41">
    <cfRule type="containsText" dxfId="354" priority="281" operator="containsText" text="XS">
      <formula>NOT(ISERROR(SEARCH("XS",C41)))</formula>
    </cfRule>
    <cfRule type="containsText" dxfId="353" priority="282" operator="containsText" text="Small">
      <formula>NOT(ISERROR(SEARCH("Small",C41)))</formula>
    </cfRule>
    <cfRule type="containsText" dxfId="352" priority="283" operator="containsText" text="Medium">
      <formula>NOT(ISERROR(SEARCH("Medium",C41)))</formula>
    </cfRule>
    <cfRule type="containsText" dxfId="351" priority="284" operator="containsText" text="Large">
      <formula>NOT(ISERROR(SEARCH("Large",C41)))</formula>
    </cfRule>
    <cfRule type="containsText" dxfId="350" priority="285" operator="containsText" text="XL">
      <formula>NOT(ISERROR(SEARCH("XL",C41)))</formula>
    </cfRule>
  </conditionalFormatting>
  <conditionalFormatting sqref="C18">
    <cfRule type="containsText" dxfId="349" priority="376" operator="containsText" text="XS">
      <formula>NOT(ISERROR(SEARCH("XS",C18)))</formula>
    </cfRule>
    <cfRule type="containsText" dxfId="348" priority="377" operator="containsText" text="Small">
      <formula>NOT(ISERROR(SEARCH("Small",C18)))</formula>
    </cfRule>
    <cfRule type="containsText" dxfId="347" priority="378" operator="containsText" text="Medium">
      <formula>NOT(ISERROR(SEARCH("Medium",C18)))</formula>
    </cfRule>
    <cfRule type="containsText" dxfId="346" priority="379" operator="containsText" text="Large">
      <formula>NOT(ISERROR(SEARCH("Large",C18)))</formula>
    </cfRule>
    <cfRule type="containsText" dxfId="345" priority="380" operator="containsText" text="XL">
      <formula>NOT(ISERROR(SEARCH("XL",C18)))</formula>
    </cfRule>
  </conditionalFormatting>
  <conditionalFormatting sqref="C19">
    <cfRule type="containsText" dxfId="344" priority="371" operator="containsText" text="XS">
      <formula>NOT(ISERROR(SEARCH("XS",C19)))</formula>
    </cfRule>
    <cfRule type="containsText" dxfId="343" priority="372" operator="containsText" text="Small">
      <formula>NOT(ISERROR(SEARCH("Small",C19)))</formula>
    </cfRule>
    <cfRule type="containsText" dxfId="342" priority="373" operator="containsText" text="Medium">
      <formula>NOT(ISERROR(SEARCH("Medium",C19)))</formula>
    </cfRule>
    <cfRule type="containsText" dxfId="341" priority="374" operator="containsText" text="Large">
      <formula>NOT(ISERROR(SEARCH("Large",C19)))</formula>
    </cfRule>
    <cfRule type="containsText" dxfId="340" priority="375" operator="containsText" text="XL">
      <formula>NOT(ISERROR(SEARCH("XL",C19)))</formula>
    </cfRule>
  </conditionalFormatting>
  <conditionalFormatting sqref="C20">
    <cfRule type="containsText" dxfId="339" priority="366" operator="containsText" text="XS">
      <formula>NOT(ISERROR(SEARCH("XS",C20)))</formula>
    </cfRule>
    <cfRule type="containsText" dxfId="338" priority="367" operator="containsText" text="Small">
      <formula>NOT(ISERROR(SEARCH("Small",C20)))</formula>
    </cfRule>
    <cfRule type="containsText" dxfId="337" priority="368" operator="containsText" text="Medium">
      <formula>NOT(ISERROR(SEARCH("Medium",C20)))</formula>
    </cfRule>
    <cfRule type="containsText" dxfId="336" priority="369" operator="containsText" text="Large">
      <formula>NOT(ISERROR(SEARCH("Large",C20)))</formula>
    </cfRule>
    <cfRule type="containsText" dxfId="335" priority="370" operator="containsText" text="XL">
      <formula>NOT(ISERROR(SEARCH("XL",C20)))</formula>
    </cfRule>
  </conditionalFormatting>
  <conditionalFormatting sqref="C21">
    <cfRule type="containsText" dxfId="334" priority="361" operator="containsText" text="XS">
      <formula>NOT(ISERROR(SEARCH("XS",C21)))</formula>
    </cfRule>
    <cfRule type="containsText" dxfId="333" priority="362" operator="containsText" text="Small">
      <formula>NOT(ISERROR(SEARCH("Small",C21)))</formula>
    </cfRule>
    <cfRule type="containsText" dxfId="332" priority="363" operator="containsText" text="Medium">
      <formula>NOT(ISERROR(SEARCH("Medium",C21)))</formula>
    </cfRule>
    <cfRule type="containsText" dxfId="331" priority="364" operator="containsText" text="Large">
      <formula>NOT(ISERROR(SEARCH("Large",C21)))</formula>
    </cfRule>
    <cfRule type="containsText" dxfId="330" priority="365" operator="containsText" text="XL">
      <formula>NOT(ISERROR(SEARCH("XL",C21)))</formula>
    </cfRule>
  </conditionalFormatting>
  <conditionalFormatting sqref="C22:C25">
    <cfRule type="containsText" dxfId="329" priority="356" operator="containsText" text="XS">
      <formula>NOT(ISERROR(SEARCH("XS",C22)))</formula>
    </cfRule>
    <cfRule type="containsText" dxfId="328" priority="357" operator="containsText" text="Small">
      <formula>NOT(ISERROR(SEARCH("Small",C22)))</formula>
    </cfRule>
    <cfRule type="containsText" dxfId="327" priority="358" operator="containsText" text="Medium">
      <formula>NOT(ISERROR(SEARCH("Medium",C22)))</formula>
    </cfRule>
    <cfRule type="containsText" dxfId="326" priority="359" operator="containsText" text="Large">
      <formula>NOT(ISERROR(SEARCH("Large",C22)))</formula>
    </cfRule>
    <cfRule type="containsText" dxfId="325" priority="360" operator="containsText" text="XL">
      <formula>NOT(ISERROR(SEARCH("XL",C22)))</formula>
    </cfRule>
  </conditionalFormatting>
  <conditionalFormatting sqref="C23:C25">
    <cfRule type="containsText" dxfId="324" priority="351" operator="containsText" text="48">
      <formula>NOT(ISERROR(SEARCH("48",C23)))</formula>
    </cfRule>
    <cfRule type="containsText" dxfId="323" priority="352" operator="containsText" text="Small">
      <formula>NOT(ISERROR(SEARCH("Small",C23)))</formula>
    </cfRule>
    <cfRule type="containsText" dxfId="322" priority="353" operator="containsText" text="Medium">
      <formula>NOT(ISERROR(SEARCH("Medium",C23)))</formula>
    </cfRule>
    <cfRule type="containsText" dxfId="321" priority="354" operator="containsText" text="Large">
      <formula>NOT(ISERROR(SEARCH("Large",C23)))</formula>
    </cfRule>
    <cfRule type="containsText" dxfId="320" priority="355" operator="containsText" text="XL">
      <formula>NOT(ISERROR(SEARCH("XL",C23)))</formula>
    </cfRule>
  </conditionalFormatting>
  <conditionalFormatting sqref="C27">
    <cfRule type="containsText" dxfId="319" priority="346" operator="containsText" text="XS">
      <formula>NOT(ISERROR(SEARCH("XS",C27)))</formula>
    </cfRule>
    <cfRule type="containsText" dxfId="318" priority="347" operator="containsText" text="Small">
      <formula>NOT(ISERROR(SEARCH("Small",C27)))</formula>
    </cfRule>
    <cfRule type="containsText" dxfId="317" priority="348" operator="containsText" text="Medium">
      <formula>NOT(ISERROR(SEARCH("Medium",C27)))</formula>
    </cfRule>
    <cfRule type="containsText" dxfId="316" priority="349" operator="containsText" text="Large">
      <formula>NOT(ISERROR(SEARCH("Large",C27)))</formula>
    </cfRule>
    <cfRule type="containsText" dxfId="315" priority="350" operator="containsText" text="XL">
      <formula>NOT(ISERROR(SEARCH("XL",C27)))</formula>
    </cfRule>
  </conditionalFormatting>
  <conditionalFormatting sqref="C28">
    <cfRule type="containsText" dxfId="314" priority="341" operator="containsText" text="XS">
      <formula>NOT(ISERROR(SEARCH("XS",C28)))</formula>
    </cfRule>
    <cfRule type="containsText" dxfId="313" priority="342" operator="containsText" text="Small">
      <formula>NOT(ISERROR(SEARCH("Small",C28)))</formula>
    </cfRule>
    <cfRule type="containsText" dxfId="312" priority="343" operator="containsText" text="Medium">
      <formula>NOT(ISERROR(SEARCH("Medium",C28)))</formula>
    </cfRule>
    <cfRule type="containsText" dxfId="311" priority="344" operator="containsText" text="Large">
      <formula>NOT(ISERROR(SEARCH("Large",C28)))</formula>
    </cfRule>
    <cfRule type="containsText" dxfId="310" priority="345" operator="containsText" text="XL">
      <formula>NOT(ISERROR(SEARCH("XL",C28)))</formula>
    </cfRule>
  </conditionalFormatting>
  <conditionalFormatting sqref="C29">
    <cfRule type="containsText" dxfId="309" priority="336" operator="containsText" text="XS">
      <formula>NOT(ISERROR(SEARCH("XS",C29)))</formula>
    </cfRule>
    <cfRule type="containsText" dxfId="308" priority="337" operator="containsText" text="Small">
      <formula>NOT(ISERROR(SEARCH("Small",C29)))</formula>
    </cfRule>
    <cfRule type="containsText" dxfId="307" priority="338" operator="containsText" text="Medium">
      <formula>NOT(ISERROR(SEARCH("Medium",C29)))</formula>
    </cfRule>
    <cfRule type="containsText" dxfId="306" priority="339" operator="containsText" text="Large">
      <formula>NOT(ISERROR(SEARCH("Large",C29)))</formula>
    </cfRule>
    <cfRule type="containsText" dxfId="305" priority="340" operator="containsText" text="XL">
      <formula>NOT(ISERROR(SEARCH("XL",C29)))</formula>
    </cfRule>
  </conditionalFormatting>
  <conditionalFormatting sqref="C30">
    <cfRule type="containsText" dxfId="304" priority="331" operator="containsText" text="XS">
      <formula>NOT(ISERROR(SEARCH("XS",C30)))</formula>
    </cfRule>
    <cfRule type="containsText" dxfId="303" priority="332" operator="containsText" text="Small">
      <formula>NOT(ISERROR(SEARCH("Small",C30)))</formula>
    </cfRule>
    <cfRule type="containsText" dxfId="302" priority="333" operator="containsText" text="Medium">
      <formula>NOT(ISERROR(SEARCH("Medium",C30)))</formula>
    </cfRule>
    <cfRule type="containsText" dxfId="301" priority="334" operator="containsText" text="Large">
      <formula>NOT(ISERROR(SEARCH("Large",C30)))</formula>
    </cfRule>
    <cfRule type="containsText" dxfId="300" priority="335" operator="containsText" text="XL">
      <formula>NOT(ISERROR(SEARCH("XL",C30)))</formula>
    </cfRule>
  </conditionalFormatting>
  <conditionalFormatting sqref="C31">
    <cfRule type="containsText" dxfId="299" priority="326" operator="containsText" text="XS">
      <formula>NOT(ISERROR(SEARCH("XS",C31)))</formula>
    </cfRule>
    <cfRule type="containsText" dxfId="298" priority="327" operator="containsText" text="Small">
      <formula>NOT(ISERROR(SEARCH("Small",C31)))</formula>
    </cfRule>
    <cfRule type="containsText" dxfId="297" priority="328" operator="containsText" text="Medium">
      <formula>NOT(ISERROR(SEARCH("Medium",C31)))</formula>
    </cfRule>
    <cfRule type="containsText" dxfId="296" priority="329" operator="containsText" text="Large">
      <formula>NOT(ISERROR(SEARCH("Large",C31)))</formula>
    </cfRule>
    <cfRule type="containsText" dxfId="295" priority="330" operator="containsText" text="XL">
      <formula>NOT(ISERROR(SEARCH("XL",C31)))</formula>
    </cfRule>
  </conditionalFormatting>
  <conditionalFormatting sqref="C32">
    <cfRule type="containsText" dxfId="294" priority="321" operator="containsText" text="XS">
      <formula>NOT(ISERROR(SEARCH("XS",C32)))</formula>
    </cfRule>
    <cfRule type="containsText" dxfId="293" priority="322" operator="containsText" text="Small">
      <formula>NOT(ISERROR(SEARCH("Small",C32)))</formula>
    </cfRule>
    <cfRule type="containsText" dxfId="292" priority="323" operator="containsText" text="Medium">
      <formula>NOT(ISERROR(SEARCH("Medium",C32)))</formula>
    </cfRule>
    <cfRule type="containsText" dxfId="291" priority="324" operator="containsText" text="Large">
      <formula>NOT(ISERROR(SEARCH("Large",C32)))</formula>
    </cfRule>
    <cfRule type="containsText" dxfId="290" priority="325" operator="containsText" text="XL">
      <formula>NOT(ISERROR(SEARCH("XL",C32)))</formula>
    </cfRule>
  </conditionalFormatting>
  <conditionalFormatting sqref="C33">
    <cfRule type="containsText" dxfId="289" priority="316" operator="containsText" text="XS">
      <formula>NOT(ISERROR(SEARCH("XS",C33)))</formula>
    </cfRule>
    <cfRule type="containsText" dxfId="288" priority="317" operator="containsText" text="Small">
      <formula>NOT(ISERROR(SEARCH("Small",C33)))</formula>
    </cfRule>
    <cfRule type="containsText" dxfId="287" priority="318" operator="containsText" text="Medium">
      <formula>NOT(ISERROR(SEARCH("Medium",C33)))</formula>
    </cfRule>
    <cfRule type="containsText" dxfId="286" priority="319" operator="containsText" text="Large">
      <formula>NOT(ISERROR(SEARCH("Large",C33)))</formula>
    </cfRule>
    <cfRule type="containsText" dxfId="285" priority="320" operator="containsText" text="XL">
      <formula>NOT(ISERROR(SEARCH("XL",C33)))</formula>
    </cfRule>
  </conditionalFormatting>
  <conditionalFormatting sqref="C35">
    <cfRule type="containsText" dxfId="284" priority="311" operator="containsText" text="XS">
      <formula>NOT(ISERROR(SEARCH("XS",C35)))</formula>
    </cfRule>
    <cfRule type="containsText" dxfId="283" priority="312" operator="containsText" text="Small">
      <formula>NOT(ISERROR(SEARCH("Small",C35)))</formula>
    </cfRule>
    <cfRule type="containsText" dxfId="282" priority="313" operator="containsText" text="Medium">
      <formula>NOT(ISERROR(SEARCH("Medium",C35)))</formula>
    </cfRule>
    <cfRule type="containsText" dxfId="281" priority="314" operator="containsText" text="Large">
      <formula>NOT(ISERROR(SEARCH("Large",C35)))</formula>
    </cfRule>
    <cfRule type="containsText" dxfId="280" priority="315" operator="containsText" text="XL">
      <formula>NOT(ISERROR(SEARCH("XL",C35)))</formula>
    </cfRule>
  </conditionalFormatting>
  <conditionalFormatting sqref="C36">
    <cfRule type="containsText" dxfId="279" priority="306" operator="containsText" text="XS">
      <formula>NOT(ISERROR(SEARCH("XS",C36)))</formula>
    </cfRule>
    <cfRule type="containsText" dxfId="278" priority="307" operator="containsText" text="Small">
      <formula>NOT(ISERROR(SEARCH("Small",C36)))</formula>
    </cfRule>
    <cfRule type="containsText" dxfId="277" priority="308" operator="containsText" text="Medium">
      <formula>NOT(ISERROR(SEARCH("Medium",C36)))</formula>
    </cfRule>
    <cfRule type="containsText" dxfId="276" priority="309" operator="containsText" text="Large">
      <formula>NOT(ISERROR(SEARCH("Large",C36)))</formula>
    </cfRule>
    <cfRule type="containsText" dxfId="275" priority="310" operator="containsText" text="XL">
      <formula>NOT(ISERROR(SEARCH("XL",C36)))</formula>
    </cfRule>
  </conditionalFormatting>
  <conditionalFormatting sqref="C37">
    <cfRule type="containsText" dxfId="274" priority="301" operator="containsText" text="XS">
      <formula>NOT(ISERROR(SEARCH("XS",C37)))</formula>
    </cfRule>
    <cfRule type="containsText" dxfId="273" priority="302" operator="containsText" text="Small">
      <formula>NOT(ISERROR(SEARCH("Small",C37)))</formula>
    </cfRule>
    <cfRule type="containsText" dxfId="272" priority="303" operator="containsText" text="Medium">
      <formula>NOT(ISERROR(SEARCH("Medium",C37)))</formula>
    </cfRule>
    <cfRule type="containsText" dxfId="271" priority="304" operator="containsText" text="Large">
      <formula>NOT(ISERROR(SEARCH("Large",C37)))</formula>
    </cfRule>
    <cfRule type="containsText" dxfId="270" priority="305" operator="containsText" text="XL">
      <formula>NOT(ISERROR(SEARCH("XL",C37)))</formula>
    </cfRule>
  </conditionalFormatting>
  <conditionalFormatting sqref="C38">
    <cfRule type="containsText" dxfId="269" priority="296" operator="containsText" text="XS">
      <formula>NOT(ISERROR(SEARCH("XS",C38)))</formula>
    </cfRule>
    <cfRule type="containsText" dxfId="268" priority="297" operator="containsText" text="Small">
      <formula>NOT(ISERROR(SEARCH("Small",C38)))</formula>
    </cfRule>
    <cfRule type="containsText" dxfId="267" priority="298" operator="containsText" text="Medium">
      <formula>NOT(ISERROR(SEARCH("Medium",C38)))</formula>
    </cfRule>
    <cfRule type="containsText" dxfId="266" priority="299" operator="containsText" text="Large">
      <formula>NOT(ISERROR(SEARCH("Large",C38)))</formula>
    </cfRule>
    <cfRule type="containsText" dxfId="265" priority="300" operator="containsText" text="XL">
      <formula>NOT(ISERROR(SEARCH("XL",C38)))</formula>
    </cfRule>
  </conditionalFormatting>
  <conditionalFormatting sqref="C39">
    <cfRule type="containsText" dxfId="264" priority="291" operator="containsText" text="XS">
      <formula>NOT(ISERROR(SEARCH("XS",C39)))</formula>
    </cfRule>
    <cfRule type="containsText" dxfId="263" priority="292" operator="containsText" text="Small">
      <formula>NOT(ISERROR(SEARCH("Small",C39)))</formula>
    </cfRule>
    <cfRule type="containsText" dxfId="262" priority="293" operator="containsText" text="Medium">
      <formula>NOT(ISERROR(SEARCH("Medium",C39)))</formula>
    </cfRule>
    <cfRule type="containsText" dxfId="261" priority="294" operator="containsText" text="Large">
      <formula>NOT(ISERROR(SEARCH("Large",C39)))</formula>
    </cfRule>
    <cfRule type="containsText" dxfId="260" priority="295" operator="containsText" text="XL">
      <formula>NOT(ISERROR(SEARCH("XL",C39)))</formula>
    </cfRule>
  </conditionalFormatting>
  <conditionalFormatting sqref="C40">
    <cfRule type="containsText" dxfId="259" priority="286" operator="containsText" text="XS">
      <formula>NOT(ISERROR(SEARCH("XS",C40)))</formula>
    </cfRule>
    <cfRule type="containsText" dxfId="258" priority="287" operator="containsText" text="Small">
      <formula>NOT(ISERROR(SEARCH("Small",C40)))</formula>
    </cfRule>
    <cfRule type="containsText" dxfId="257" priority="288" operator="containsText" text="Medium">
      <formula>NOT(ISERROR(SEARCH("Medium",C40)))</formula>
    </cfRule>
    <cfRule type="containsText" dxfId="256" priority="289" operator="containsText" text="Large">
      <formula>NOT(ISERROR(SEARCH("Large",C40)))</formula>
    </cfRule>
    <cfRule type="containsText" dxfId="255" priority="290" operator="containsText" text="XL">
      <formula>NOT(ISERROR(SEARCH("XL",C40)))</formula>
    </cfRule>
  </conditionalFormatting>
  <conditionalFormatting sqref="C73">
    <cfRule type="containsText" dxfId="254" priority="276" operator="containsText" text="47">
      <formula>NOT(ISERROR(SEARCH("47",C73)))</formula>
    </cfRule>
    <cfRule type="containsText" dxfId="253" priority="277" operator="containsText" text="51">
      <formula>NOT(ISERROR(SEARCH("51",C73)))</formula>
    </cfRule>
    <cfRule type="containsText" dxfId="252" priority="278" operator="containsText" text="54">
      <formula>NOT(ISERROR(SEARCH("54",C73)))</formula>
    </cfRule>
    <cfRule type="containsText" dxfId="251" priority="279" operator="containsText" text="56">
      <formula>NOT(ISERROR(SEARCH("56",C73)))</formula>
    </cfRule>
    <cfRule type="containsText" dxfId="250" priority="280" operator="containsText" text="58">
      <formula>NOT(ISERROR(SEARCH("58",C73)))</formula>
    </cfRule>
  </conditionalFormatting>
  <conditionalFormatting sqref="C74">
    <cfRule type="containsText" dxfId="249" priority="271" operator="containsText" text="47">
      <formula>NOT(ISERROR(SEARCH("47",C74)))</formula>
    </cfRule>
    <cfRule type="containsText" dxfId="248" priority="272" operator="containsText" text="51">
      <formula>NOT(ISERROR(SEARCH("51",C74)))</formula>
    </cfRule>
    <cfRule type="containsText" dxfId="247" priority="273" operator="containsText" text="54">
      <formula>NOT(ISERROR(SEARCH("54",C74)))</formula>
    </cfRule>
    <cfRule type="containsText" dxfId="246" priority="274" operator="containsText" text="56">
      <formula>NOT(ISERROR(SEARCH("56",C74)))</formula>
    </cfRule>
    <cfRule type="containsText" dxfId="245" priority="275" operator="containsText" text="58">
      <formula>NOT(ISERROR(SEARCH("58",C74)))</formula>
    </cfRule>
  </conditionalFormatting>
  <conditionalFormatting sqref="C75">
    <cfRule type="containsText" dxfId="244" priority="266" operator="containsText" text="47">
      <formula>NOT(ISERROR(SEARCH("47",C75)))</formula>
    </cfRule>
    <cfRule type="containsText" dxfId="243" priority="267" operator="containsText" text="51">
      <formula>NOT(ISERROR(SEARCH("51",C75)))</formula>
    </cfRule>
    <cfRule type="containsText" dxfId="242" priority="268" operator="containsText" text="54">
      <formula>NOT(ISERROR(SEARCH("54",C75)))</formula>
    </cfRule>
    <cfRule type="containsText" dxfId="241" priority="269" operator="containsText" text="56">
      <formula>NOT(ISERROR(SEARCH("56",C75)))</formula>
    </cfRule>
    <cfRule type="containsText" dxfId="240" priority="270" operator="containsText" text="58">
      <formula>NOT(ISERROR(SEARCH("58",C75)))</formula>
    </cfRule>
  </conditionalFormatting>
  <conditionalFormatting sqref="C76">
    <cfRule type="containsText" dxfId="239" priority="261" operator="containsText" text="47">
      <formula>NOT(ISERROR(SEARCH("47",C76)))</formula>
    </cfRule>
    <cfRule type="containsText" dxfId="238" priority="262" operator="containsText" text="51">
      <formula>NOT(ISERROR(SEARCH("51",C76)))</formula>
    </cfRule>
    <cfRule type="containsText" dxfId="237" priority="263" operator="containsText" text="54">
      <formula>NOT(ISERROR(SEARCH("54",C76)))</formula>
    </cfRule>
    <cfRule type="containsText" dxfId="236" priority="264" operator="containsText" text="56">
      <formula>NOT(ISERROR(SEARCH("56",C76)))</formula>
    </cfRule>
    <cfRule type="containsText" dxfId="235" priority="265" operator="containsText" text="58">
      <formula>NOT(ISERROR(SEARCH("58",C76)))</formula>
    </cfRule>
  </conditionalFormatting>
  <conditionalFormatting sqref="C77">
    <cfRule type="containsText" dxfId="234" priority="256" operator="containsText" text="47">
      <formula>NOT(ISERROR(SEARCH("47",C77)))</formula>
    </cfRule>
    <cfRule type="containsText" dxfId="233" priority="257" operator="containsText" text="51">
      <formula>NOT(ISERROR(SEARCH("51",C77)))</formula>
    </cfRule>
    <cfRule type="containsText" dxfId="232" priority="258" operator="containsText" text="54">
      <formula>NOT(ISERROR(SEARCH("54",C77)))</formula>
    </cfRule>
    <cfRule type="containsText" dxfId="231" priority="259" operator="containsText" text="56">
      <formula>NOT(ISERROR(SEARCH("56",C77)))</formula>
    </cfRule>
    <cfRule type="containsText" dxfId="230" priority="260" operator="containsText" text="58">
      <formula>NOT(ISERROR(SEARCH("58",C77)))</formula>
    </cfRule>
  </conditionalFormatting>
  <conditionalFormatting sqref="C78">
    <cfRule type="containsText" dxfId="229" priority="251" operator="containsText" text="47">
      <formula>NOT(ISERROR(SEARCH("47",C78)))</formula>
    </cfRule>
    <cfRule type="containsText" dxfId="228" priority="252" operator="containsText" text="51">
      <formula>NOT(ISERROR(SEARCH("51",C78)))</formula>
    </cfRule>
    <cfRule type="containsText" dxfId="227" priority="253" operator="containsText" text="54">
      <formula>NOT(ISERROR(SEARCH("54",C78)))</formula>
    </cfRule>
    <cfRule type="containsText" dxfId="226" priority="254" operator="containsText" text="56">
      <formula>NOT(ISERROR(SEARCH("56",C78)))</formula>
    </cfRule>
    <cfRule type="containsText" dxfId="225" priority="255" operator="containsText" text="58">
      <formula>NOT(ISERROR(SEARCH("58",C78)))</formula>
    </cfRule>
  </conditionalFormatting>
  <conditionalFormatting sqref="C79">
    <cfRule type="containsText" dxfId="224" priority="246" operator="containsText" text="47">
      <formula>NOT(ISERROR(SEARCH("47",C79)))</formula>
    </cfRule>
    <cfRule type="containsText" dxfId="223" priority="247" operator="containsText" text="51">
      <formula>NOT(ISERROR(SEARCH("51",C79)))</formula>
    </cfRule>
    <cfRule type="containsText" dxfId="222" priority="248" operator="containsText" text="54">
      <formula>NOT(ISERROR(SEARCH("54",C79)))</formula>
    </cfRule>
    <cfRule type="containsText" dxfId="221" priority="249" operator="containsText" text="56">
      <formula>NOT(ISERROR(SEARCH("56",C79)))</formula>
    </cfRule>
    <cfRule type="containsText" dxfId="220" priority="250" operator="containsText" text="58">
      <formula>NOT(ISERROR(SEARCH("58",C79)))</formula>
    </cfRule>
  </conditionalFormatting>
  <conditionalFormatting sqref="C80">
    <cfRule type="containsText" dxfId="219" priority="241" operator="containsText" text="47">
      <formula>NOT(ISERROR(SEARCH("47",C80)))</formula>
    </cfRule>
    <cfRule type="containsText" dxfId="218" priority="242" operator="containsText" text="51">
      <formula>NOT(ISERROR(SEARCH("51",C80)))</formula>
    </cfRule>
    <cfRule type="containsText" dxfId="217" priority="243" operator="containsText" text="54">
      <formula>NOT(ISERROR(SEARCH("54",C80)))</formula>
    </cfRule>
    <cfRule type="containsText" dxfId="216" priority="244" operator="containsText" text="56">
      <formula>NOT(ISERROR(SEARCH("56",C80)))</formula>
    </cfRule>
    <cfRule type="containsText" dxfId="215" priority="245" operator="containsText" text="58">
      <formula>NOT(ISERROR(SEARCH("58",C80)))</formula>
    </cfRule>
  </conditionalFormatting>
  <conditionalFormatting sqref="C81">
    <cfRule type="containsText" dxfId="214" priority="236" operator="containsText" text="47">
      <formula>NOT(ISERROR(SEARCH("47",C81)))</formula>
    </cfRule>
    <cfRule type="containsText" dxfId="213" priority="237" operator="containsText" text="51">
      <formula>NOT(ISERROR(SEARCH("51",C81)))</formula>
    </cfRule>
    <cfRule type="containsText" dxfId="212" priority="238" operator="containsText" text="54">
      <formula>NOT(ISERROR(SEARCH("54",C81)))</formula>
    </cfRule>
    <cfRule type="containsText" dxfId="211" priority="239" operator="containsText" text="56">
      <formula>NOT(ISERROR(SEARCH("56",C81)))</formula>
    </cfRule>
    <cfRule type="containsText" dxfId="210" priority="240" operator="containsText" text="58">
      <formula>NOT(ISERROR(SEARCH("58",C81)))</formula>
    </cfRule>
  </conditionalFormatting>
  <conditionalFormatting sqref="C82:C90">
    <cfRule type="containsText" dxfId="209" priority="231" operator="containsText" text="47">
      <formula>NOT(ISERROR(SEARCH("47",C82)))</formula>
    </cfRule>
    <cfRule type="containsText" dxfId="208" priority="232" operator="containsText" text="51">
      <formula>NOT(ISERROR(SEARCH("51",C82)))</formula>
    </cfRule>
    <cfRule type="containsText" dxfId="207" priority="233" operator="containsText" text="54">
      <formula>NOT(ISERROR(SEARCH("54",C82)))</formula>
    </cfRule>
    <cfRule type="containsText" dxfId="206" priority="234" operator="containsText" text="56">
      <formula>NOT(ISERROR(SEARCH("56",C82)))</formula>
    </cfRule>
    <cfRule type="containsText" dxfId="205" priority="235" operator="containsText" text="58">
      <formula>NOT(ISERROR(SEARCH("58",C82)))</formula>
    </cfRule>
  </conditionalFormatting>
  <conditionalFormatting sqref="C92">
    <cfRule type="containsText" dxfId="204" priority="221" operator="containsText" text="47">
      <formula>NOT(ISERROR(SEARCH("47",C92)))</formula>
    </cfRule>
    <cfRule type="containsText" dxfId="203" priority="222" operator="containsText" text="51">
      <formula>NOT(ISERROR(SEARCH("51",C92)))</formula>
    </cfRule>
    <cfRule type="containsText" dxfId="202" priority="223" operator="containsText" text="54">
      <formula>NOT(ISERROR(SEARCH("54",C92)))</formula>
    </cfRule>
    <cfRule type="containsText" dxfId="201" priority="224" operator="containsText" text="56">
      <formula>NOT(ISERROR(SEARCH("56",C92)))</formula>
    </cfRule>
    <cfRule type="containsText" dxfId="200" priority="225" operator="containsText" text="58">
      <formula>NOT(ISERROR(SEARCH("58",C92)))</formula>
    </cfRule>
  </conditionalFormatting>
  <conditionalFormatting sqref="C93">
    <cfRule type="containsText" dxfId="199" priority="216" operator="containsText" text="47">
      <formula>NOT(ISERROR(SEARCH("47",C93)))</formula>
    </cfRule>
    <cfRule type="containsText" dxfId="198" priority="217" operator="containsText" text="51">
      <formula>NOT(ISERROR(SEARCH("51",C93)))</formula>
    </cfRule>
    <cfRule type="containsText" dxfId="197" priority="218" operator="containsText" text="54">
      <formula>NOT(ISERROR(SEARCH("54",C93)))</formula>
    </cfRule>
    <cfRule type="containsText" dxfId="196" priority="219" operator="containsText" text="56">
      <formula>NOT(ISERROR(SEARCH("56",C93)))</formula>
    </cfRule>
    <cfRule type="containsText" dxfId="195" priority="220" operator="containsText" text="58">
      <formula>NOT(ISERROR(SEARCH("58",C93)))</formula>
    </cfRule>
  </conditionalFormatting>
  <conditionalFormatting sqref="C94">
    <cfRule type="containsText" dxfId="194" priority="211" operator="containsText" text="47">
      <formula>NOT(ISERROR(SEARCH("47",C94)))</formula>
    </cfRule>
    <cfRule type="containsText" dxfId="193" priority="212" operator="containsText" text="51">
      <formula>NOT(ISERROR(SEARCH("51",C94)))</formula>
    </cfRule>
    <cfRule type="containsText" dxfId="192" priority="213" operator="containsText" text="54">
      <formula>NOT(ISERROR(SEARCH("54",C94)))</formula>
    </cfRule>
    <cfRule type="containsText" dxfId="191" priority="214" operator="containsText" text="56">
      <formula>NOT(ISERROR(SEARCH("56",C94)))</formula>
    </cfRule>
    <cfRule type="containsText" dxfId="190" priority="215" operator="containsText" text="58">
      <formula>NOT(ISERROR(SEARCH("58",C94)))</formula>
    </cfRule>
  </conditionalFormatting>
  <conditionalFormatting sqref="C95">
    <cfRule type="containsText" dxfId="189" priority="206" operator="containsText" text="47">
      <formula>NOT(ISERROR(SEARCH("47",C95)))</formula>
    </cfRule>
    <cfRule type="containsText" dxfId="188" priority="207" operator="containsText" text="51">
      <formula>NOT(ISERROR(SEARCH("51",C95)))</formula>
    </cfRule>
    <cfRule type="containsText" dxfId="187" priority="208" operator="containsText" text="54">
      <formula>NOT(ISERROR(SEARCH("54",C95)))</formula>
    </cfRule>
    <cfRule type="containsText" dxfId="186" priority="209" operator="containsText" text="56">
      <formula>NOT(ISERROR(SEARCH("56",C95)))</formula>
    </cfRule>
    <cfRule type="containsText" dxfId="185" priority="210" operator="containsText" text="58">
      <formula>NOT(ISERROR(SEARCH("58",C95)))</formula>
    </cfRule>
  </conditionalFormatting>
  <conditionalFormatting sqref="C96">
    <cfRule type="containsText" dxfId="184" priority="201" operator="containsText" text="47">
      <formula>NOT(ISERROR(SEARCH("47",C96)))</formula>
    </cfRule>
    <cfRule type="containsText" dxfId="183" priority="202" operator="containsText" text="51">
      <formula>NOT(ISERROR(SEARCH("51",C96)))</formula>
    </cfRule>
    <cfRule type="containsText" dxfId="182" priority="203" operator="containsText" text="54">
      <formula>NOT(ISERROR(SEARCH("54",C96)))</formula>
    </cfRule>
    <cfRule type="containsText" dxfId="181" priority="204" operator="containsText" text="56">
      <formula>NOT(ISERROR(SEARCH("56",C96)))</formula>
    </cfRule>
    <cfRule type="containsText" dxfId="180" priority="205" operator="containsText" text="58">
      <formula>NOT(ISERROR(SEARCH("58",C96)))</formula>
    </cfRule>
  </conditionalFormatting>
  <conditionalFormatting sqref="C97">
    <cfRule type="containsText" dxfId="179" priority="196" operator="containsText" text="47">
      <formula>NOT(ISERROR(SEARCH("47",C97)))</formula>
    </cfRule>
    <cfRule type="containsText" dxfId="178" priority="197" operator="containsText" text="51">
      <formula>NOT(ISERROR(SEARCH("51",C97)))</formula>
    </cfRule>
    <cfRule type="containsText" dxfId="177" priority="198" operator="containsText" text="54">
      <formula>NOT(ISERROR(SEARCH("54",C97)))</formula>
    </cfRule>
    <cfRule type="containsText" dxfId="176" priority="199" operator="containsText" text="56">
      <formula>NOT(ISERROR(SEARCH("56",C97)))</formula>
    </cfRule>
    <cfRule type="containsText" dxfId="175" priority="200" operator="containsText" text="58">
      <formula>NOT(ISERROR(SEARCH("58",C97)))</formula>
    </cfRule>
  </conditionalFormatting>
  <conditionalFormatting sqref="C98">
    <cfRule type="containsText" dxfId="174" priority="191" operator="containsText" text="47">
      <formula>NOT(ISERROR(SEARCH("47",C98)))</formula>
    </cfRule>
    <cfRule type="containsText" dxfId="173" priority="192" operator="containsText" text="51">
      <formula>NOT(ISERROR(SEARCH("51",C98)))</formula>
    </cfRule>
    <cfRule type="containsText" dxfId="172" priority="193" operator="containsText" text="54">
      <formula>NOT(ISERROR(SEARCH("54",C98)))</formula>
    </cfRule>
    <cfRule type="containsText" dxfId="171" priority="194" operator="containsText" text="56">
      <formula>NOT(ISERROR(SEARCH("56",C98)))</formula>
    </cfRule>
    <cfRule type="containsText" dxfId="170" priority="195" operator="containsText" text="58">
      <formula>NOT(ISERROR(SEARCH("58",C98)))</formula>
    </cfRule>
  </conditionalFormatting>
  <conditionalFormatting sqref="C99">
    <cfRule type="containsText" dxfId="169" priority="186" operator="containsText" text="47">
      <formula>NOT(ISERROR(SEARCH("47",C99)))</formula>
    </cfRule>
    <cfRule type="containsText" dxfId="168" priority="187" operator="containsText" text="51">
      <formula>NOT(ISERROR(SEARCH("51",C99)))</formula>
    </cfRule>
    <cfRule type="containsText" dxfId="167" priority="188" operator="containsText" text="54">
      <formula>NOT(ISERROR(SEARCH("54",C99)))</formula>
    </cfRule>
    <cfRule type="containsText" dxfId="166" priority="189" operator="containsText" text="56">
      <formula>NOT(ISERROR(SEARCH("56",C99)))</formula>
    </cfRule>
    <cfRule type="containsText" dxfId="165" priority="190" operator="containsText" text="58">
      <formula>NOT(ISERROR(SEARCH("58",C99)))</formula>
    </cfRule>
  </conditionalFormatting>
  <conditionalFormatting sqref="C100">
    <cfRule type="containsText" dxfId="164" priority="181" operator="containsText" text="47">
      <formula>NOT(ISERROR(SEARCH("47",C100)))</formula>
    </cfRule>
    <cfRule type="containsText" dxfId="163" priority="182" operator="containsText" text="51">
      <formula>NOT(ISERROR(SEARCH("51",C100)))</formula>
    </cfRule>
    <cfRule type="containsText" dxfId="162" priority="183" operator="containsText" text="54">
      <formula>NOT(ISERROR(SEARCH("54",C100)))</formula>
    </cfRule>
    <cfRule type="containsText" dxfId="161" priority="184" operator="containsText" text="56">
      <formula>NOT(ISERROR(SEARCH("56",C100)))</formula>
    </cfRule>
    <cfRule type="containsText" dxfId="160" priority="185" operator="containsText" text="58">
      <formula>NOT(ISERROR(SEARCH("58",C100)))</formula>
    </cfRule>
  </conditionalFormatting>
  <conditionalFormatting sqref="C102">
    <cfRule type="containsText" dxfId="159" priority="176" operator="containsText" text="47">
      <formula>NOT(ISERROR(SEARCH("47",C102)))</formula>
    </cfRule>
    <cfRule type="containsText" dxfId="158" priority="177" operator="containsText" text="51">
      <formula>NOT(ISERROR(SEARCH("51",C102)))</formula>
    </cfRule>
    <cfRule type="containsText" dxfId="157" priority="178" operator="containsText" text="54">
      <formula>NOT(ISERROR(SEARCH("54",C102)))</formula>
    </cfRule>
    <cfRule type="containsText" dxfId="156" priority="179" operator="containsText" text="56">
      <formula>NOT(ISERROR(SEARCH("56",C102)))</formula>
    </cfRule>
    <cfRule type="containsText" dxfId="155" priority="180" operator="containsText" text="58">
      <formula>NOT(ISERROR(SEARCH("58",C102)))</formula>
    </cfRule>
  </conditionalFormatting>
  <conditionalFormatting sqref="C103">
    <cfRule type="containsText" dxfId="154" priority="171" operator="containsText" text="47">
      <formula>NOT(ISERROR(SEARCH("47",C103)))</formula>
    </cfRule>
    <cfRule type="containsText" dxfId="153" priority="172" operator="containsText" text="51">
      <formula>NOT(ISERROR(SEARCH("51",C103)))</formula>
    </cfRule>
    <cfRule type="containsText" dxfId="152" priority="173" operator="containsText" text="54">
      <formula>NOT(ISERROR(SEARCH("54",C103)))</formula>
    </cfRule>
    <cfRule type="containsText" dxfId="151" priority="174" operator="containsText" text="56">
      <formula>NOT(ISERROR(SEARCH("56",C103)))</formula>
    </cfRule>
    <cfRule type="containsText" dxfId="150" priority="175" operator="containsText" text="58">
      <formula>NOT(ISERROR(SEARCH("58",C103)))</formula>
    </cfRule>
  </conditionalFormatting>
  <conditionalFormatting sqref="C104">
    <cfRule type="containsText" dxfId="149" priority="166" operator="containsText" text="47">
      <formula>NOT(ISERROR(SEARCH("47",C104)))</formula>
    </cfRule>
    <cfRule type="containsText" dxfId="148" priority="167" operator="containsText" text="51">
      <formula>NOT(ISERROR(SEARCH("51",C104)))</formula>
    </cfRule>
    <cfRule type="containsText" dxfId="147" priority="168" operator="containsText" text="54">
      <formula>NOT(ISERROR(SEARCH("54",C104)))</formula>
    </cfRule>
    <cfRule type="containsText" dxfId="146" priority="169" operator="containsText" text="56">
      <formula>NOT(ISERROR(SEARCH("56",C104)))</formula>
    </cfRule>
    <cfRule type="containsText" dxfId="145" priority="170" operator="containsText" text="58">
      <formula>NOT(ISERROR(SEARCH("58",C104)))</formula>
    </cfRule>
  </conditionalFormatting>
  <conditionalFormatting sqref="C105">
    <cfRule type="containsText" dxfId="144" priority="161" operator="containsText" text="47">
      <formula>NOT(ISERROR(SEARCH("47",C105)))</formula>
    </cfRule>
    <cfRule type="containsText" dxfId="143" priority="162" operator="containsText" text="51">
      <formula>NOT(ISERROR(SEARCH("51",C105)))</formula>
    </cfRule>
    <cfRule type="containsText" dxfId="142" priority="163" operator="containsText" text="54">
      <formula>NOT(ISERROR(SEARCH("54",C105)))</formula>
    </cfRule>
    <cfRule type="containsText" dxfId="141" priority="164" operator="containsText" text="56">
      <formula>NOT(ISERROR(SEARCH("56",C105)))</formula>
    </cfRule>
    <cfRule type="containsText" dxfId="140" priority="165" operator="containsText" text="58">
      <formula>NOT(ISERROR(SEARCH("58",C105)))</formula>
    </cfRule>
  </conditionalFormatting>
  <conditionalFormatting sqref="C106">
    <cfRule type="containsText" dxfId="139" priority="156" operator="containsText" text="47">
      <formula>NOT(ISERROR(SEARCH("47",C106)))</formula>
    </cfRule>
    <cfRule type="containsText" dxfId="138" priority="157" operator="containsText" text="51">
      <formula>NOT(ISERROR(SEARCH("51",C106)))</formula>
    </cfRule>
    <cfRule type="containsText" dxfId="137" priority="158" operator="containsText" text="54">
      <formula>NOT(ISERROR(SEARCH("54",C106)))</formula>
    </cfRule>
    <cfRule type="containsText" dxfId="136" priority="159" operator="containsText" text="56">
      <formula>NOT(ISERROR(SEARCH("56",C106)))</formula>
    </cfRule>
    <cfRule type="containsText" dxfId="135" priority="160" operator="containsText" text="58">
      <formula>NOT(ISERROR(SEARCH("58",C106)))</formula>
    </cfRule>
  </conditionalFormatting>
  <conditionalFormatting sqref="C107">
    <cfRule type="containsText" dxfId="134" priority="151" operator="containsText" text="47">
      <formula>NOT(ISERROR(SEARCH("47",C107)))</formula>
    </cfRule>
    <cfRule type="containsText" dxfId="133" priority="152" operator="containsText" text="51">
      <formula>NOT(ISERROR(SEARCH("51",C107)))</formula>
    </cfRule>
    <cfRule type="containsText" dxfId="132" priority="153" operator="containsText" text="54">
      <formula>NOT(ISERROR(SEARCH("54",C107)))</formula>
    </cfRule>
    <cfRule type="containsText" dxfId="131" priority="154" operator="containsText" text="56">
      <formula>NOT(ISERROR(SEARCH("56",C107)))</formula>
    </cfRule>
    <cfRule type="containsText" dxfId="130" priority="155" operator="containsText" text="58">
      <formula>NOT(ISERROR(SEARCH("58",C107)))</formula>
    </cfRule>
  </conditionalFormatting>
  <conditionalFormatting sqref="C108">
    <cfRule type="containsText" dxfId="129" priority="146" operator="containsText" text="47">
      <formula>NOT(ISERROR(SEARCH("47",C108)))</formula>
    </cfRule>
    <cfRule type="containsText" dxfId="128" priority="147" operator="containsText" text="51">
      <formula>NOT(ISERROR(SEARCH("51",C108)))</formula>
    </cfRule>
    <cfRule type="containsText" dxfId="127" priority="148" operator="containsText" text="54">
      <formula>NOT(ISERROR(SEARCH("54",C108)))</formula>
    </cfRule>
    <cfRule type="containsText" dxfId="126" priority="149" operator="containsText" text="56">
      <formula>NOT(ISERROR(SEARCH("56",C108)))</formula>
    </cfRule>
    <cfRule type="containsText" dxfId="125" priority="150" operator="containsText" text="58">
      <formula>NOT(ISERROR(SEARCH("58",C108)))</formula>
    </cfRule>
  </conditionalFormatting>
  <conditionalFormatting sqref="C109">
    <cfRule type="containsText" dxfId="124" priority="141" operator="containsText" text="47">
      <formula>NOT(ISERROR(SEARCH("47",C109)))</formula>
    </cfRule>
    <cfRule type="containsText" dxfId="123" priority="142" operator="containsText" text="51">
      <formula>NOT(ISERROR(SEARCH("51",C109)))</formula>
    </cfRule>
    <cfRule type="containsText" dxfId="122" priority="143" operator="containsText" text="54">
      <formula>NOT(ISERROR(SEARCH("54",C109)))</formula>
    </cfRule>
    <cfRule type="containsText" dxfId="121" priority="144" operator="containsText" text="56">
      <formula>NOT(ISERROR(SEARCH("56",C109)))</formula>
    </cfRule>
    <cfRule type="containsText" dxfId="120" priority="145" operator="containsText" text="58">
      <formula>NOT(ISERROR(SEARCH("58",C109)))</formula>
    </cfRule>
  </conditionalFormatting>
  <conditionalFormatting sqref="C110">
    <cfRule type="containsText" dxfId="119" priority="136" operator="containsText" text="47">
      <formula>NOT(ISERROR(SEARCH("47",C110)))</formula>
    </cfRule>
    <cfRule type="containsText" dxfId="118" priority="137" operator="containsText" text="51">
      <formula>NOT(ISERROR(SEARCH("51",C110)))</formula>
    </cfRule>
    <cfRule type="containsText" dxfId="117" priority="138" operator="containsText" text="54">
      <formula>NOT(ISERROR(SEARCH("54",C110)))</formula>
    </cfRule>
    <cfRule type="containsText" dxfId="116" priority="139" operator="containsText" text="56">
      <formula>NOT(ISERROR(SEARCH("56",C110)))</formula>
    </cfRule>
    <cfRule type="containsText" dxfId="115" priority="140" operator="containsText" text="58">
      <formula>NOT(ISERROR(SEARCH("58",C110)))</formula>
    </cfRule>
  </conditionalFormatting>
  <conditionalFormatting sqref="C17:H41">
    <cfRule type="containsText" dxfId="114" priority="897" operator="containsText" text="48">
      <formula>NOT(ISERROR(SEARCH("48",C17)))</formula>
    </cfRule>
    <cfRule type="containsText" dxfId="113" priority="898" operator="containsText" text="51">
      <formula>NOT(ISERROR(SEARCH("51",C17)))</formula>
    </cfRule>
    <cfRule type="containsText" dxfId="112" priority="899" operator="containsText" text="54">
      <formula>NOT(ISERROR(SEARCH("54",C17)))</formula>
    </cfRule>
    <cfRule type="containsText" dxfId="111" priority="900" operator="containsText" text="56">
      <formula>NOT(ISERROR(SEARCH("56",C17)))</formula>
    </cfRule>
    <cfRule type="containsText" dxfId="110" priority="901" operator="containsText" text="58">
      <formula>NOT(ISERROR(SEARCH("58",C17)))</formula>
    </cfRule>
  </conditionalFormatting>
  <conditionalFormatting sqref="I44:I52">
    <cfRule type="containsText" dxfId="109" priority="126" operator="containsText" text="XS">
      <formula>NOT(ISERROR(SEARCH("XS",I44)))</formula>
    </cfRule>
    <cfRule type="containsText" dxfId="108" priority="127" operator="containsText" text="Small">
      <formula>NOT(ISERROR(SEARCH("Small",I44)))</formula>
    </cfRule>
    <cfRule type="containsText" dxfId="107" priority="128" operator="containsText" text="Medium">
      <formula>NOT(ISERROR(SEARCH("Medium",I44)))</formula>
    </cfRule>
    <cfRule type="containsText" dxfId="106" priority="129" operator="containsText" text="Large">
      <formula>NOT(ISERROR(SEARCH("Large",I44)))</formula>
    </cfRule>
    <cfRule type="containsText" dxfId="105" priority="130" operator="containsText" text="XL">
      <formula>NOT(ISERROR(SEARCH("XL",I44)))</formula>
    </cfRule>
  </conditionalFormatting>
  <conditionalFormatting sqref="C68">
    <cfRule type="containsText" dxfId="104" priority="1" operator="containsText" text="XS">
      <formula>NOT(ISERROR(SEARCH("XS",C68)))</formula>
    </cfRule>
    <cfRule type="containsText" dxfId="103" priority="2" operator="containsText" text="Small">
      <formula>NOT(ISERROR(SEARCH("Small",C68)))</formula>
    </cfRule>
    <cfRule type="containsText" dxfId="102" priority="3" operator="containsText" text="Medium">
      <formula>NOT(ISERROR(SEARCH("Medium",C68)))</formula>
    </cfRule>
    <cfRule type="containsText" dxfId="101" priority="4" operator="containsText" text="Large">
      <formula>NOT(ISERROR(SEARCH("Large",C68)))</formula>
    </cfRule>
    <cfRule type="containsText" dxfId="100" priority="5" operator="containsText" text="XL">
      <formula>NOT(ISERROR(SEARCH("XL",C68)))</formula>
    </cfRule>
  </conditionalFormatting>
  <conditionalFormatting sqref="C45">
    <cfRule type="containsText" dxfId="99" priority="96" operator="containsText" text="XS">
      <formula>NOT(ISERROR(SEARCH("XS",C45)))</formula>
    </cfRule>
    <cfRule type="containsText" dxfId="98" priority="97" operator="containsText" text="Small">
      <formula>NOT(ISERROR(SEARCH("Small",C45)))</formula>
    </cfRule>
    <cfRule type="containsText" dxfId="97" priority="98" operator="containsText" text="Medium">
      <formula>NOT(ISERROR(SEARCH("Medium",C45)))</formula>
    </cfRule>
    <cfRule type="containsText" dxfId="96" priority="99" operator="containsText" text="Large">
      <formula>NOT(ISERROR(SEARCH("Large",C45)))</formula>
    </cfRule>
    <cfRule type="containsText" dxfId="95" priority="100" operator="containsText" text="XL">
      <formula>NOT(ISERROR(SEARCH("XL",C45)))</formula>
    </cfRule>
  </conditionalFormatting>
  <conditionalFormatting sqref="C46">
    <cfRule type="containsText" dxfId="94" priority="91" operator="containsText" text="XS">
      <formula>NOT(ISERROR(SEARCH("XS",C46)))</formula>
    </cfRule>
    <cfRule type="containsText" dxfId="93" priority="92" operator="containsText" text="Small">
      <formula>NOT(ISERROR(SEARCH("Small",C46)))</formula>
    </cfRule>
    <cfRule type="containsText" dxfId="92" priority="93" operator="containsText" text="Medium">
      <formula>NOT(ISERROR(SEARCH("Medium",C46)))</formula>
    </cfRule>
    <cfRule type="containsText" dxfId="91" priority="94" operator="containsText" text="Large">
      <formula>NOT(ISERROR(SEARCH("Large",C46)))</formula>
    </cfRule>
    <cfRule type="containsText" dxfId="90" priority="95" operator="containsText" text="XL">
      <formula>NOT(ISERROR(SEARCH("XL",C46)))</formula>
    </cfRule>
  </conditionalFormatting>
  <conditionalFormatting sqref="C47">
    <cfRule type="containsText" dxfId="89" priority="86" operator="containsText" text="XS">
      <formula>NOT(ISERROR(SEARCH("XS",C47)))</formula>
    </cfRule>
    <cfRule type="containsText" dxfId="88" priority="87" operator="containsText" text="Small">
      <formula>NOT(ISERROR(SEARCH("Small",C47)))</formula>
    </cfRule>
    <cfRule type="containsText" dxfId="87" priority="88" operator="containsText" text="Medium">
      <formula>NOT(ISERROR(SEARCH("Medium",C47)))</formula>
    </cfRule>
    <cfRule type="containsText" dxfId="86" priority="89" operator="containsText" text="Large">
      <formula>NOT(ISERROR(SEARCH("Large",C47)))</formula>
    </cfRule>
    <cfRule type="containsText" dxfId="85" priority="90" operator="containsText" text="XL">
      <formula>NOT(ISERROR(SEARCH("XL",C47)))</formula>
    </cfRule>
  </conditionalFormatting>
  <conditionalFormatting sqref="C48">
    <cfRule type="containsText" dxfId="84" priority="81" operator="containsText" text="XS">
      <formula>NOT(ISERROR(SEARCH("XS",C48)))</formula>
    </cfRule>
    <cfRule type="containsText" dxfId="83" priority="82" operator="containsText" text="Small">
      <formula>NOT(ISERROR(SEARCH("Small",C48)))</formula>
    </cfRule>
    <cfRule type="containsText" dxfId="82" priority="83" operator="containsText" text="Medium">
      <formula>NOT(ISERROR(SEARCH("Medium",C48)))</formula>
    </cfRule>
    <cfRule type="containsText" dxfId="81" priority="84" operator="containsText" text="Large">
      <formula>NOT(ISERROR(SEARCH("Large",C48)))</formula>
    </cfRule>
    <cfRule type="containsText" dxfId="80" priority="85" operator="containsText" text="XL">
      <formula>NOT(ISERROR(SEARCH("XL",C48)))</formula>
    </cfRule>
  </conditionalFormatting>
  <conditionalFormatting sqref="C49:C52">
    <cfRule type="containsText" dxfId="79" priority="76" operator="containsText" text="XS">
      <formula>NOT(ISERROR(SEARCH("XS",C49)))</formula>
    </cfRule>
    <cfRule type="containsText" dxfId="78" priority="77" operator="containsText" text="Small">
      <formula>NOT(ISERROR(SEARCH("Small",C49)))</formula>
    </cfRule>
    <cfRule type="containsText" dxfId="77" priority="78" operator="containsText" text="Medium">
      <formula>NOT(ISERROR(SEARCH("Medium",C49)))</formula>
    </cfRule>
    <cfRule type="containsText" dxfId="76" priority="79" operator="containsText" text="Large">
      <formula>NOT(ISERROR(SEARCH("Large",C49)))</formula>
    </cfRule>
    <cfRule type="containsText" dxfId="75" priority="80" operator="containsText" text="XL">
      <formula>NOT(ISERROR(SEARCH("XL",C49)))</formula>
    </cfRule>
  </conditionalFormatting>
  <conditionalFormatting sqref="C50:C52">
    <cfRule type="containsText" dxfId="74" priority="71" operator="containsText" text="48">
      <formula>NOT(ISERROR(SEARCH("48",C50)))</formula>
    </cfRule>
    <cfRule type="containsText" dxfId="73" priority="72" operator="containsText" text="Small">
      <formula>NOT(ISERROR(SEARCH("Small",C50)))</formula>
    </cfRule>
    <cfRule type="containsText" dxfId="72" priority="73" operator="containsText" text="Medium">
      <formula>NOT(ISERROR(SEARCH("Medium",C50)))</formula>
    </cfRule>
    <cfRule type="containsText" dxfId="71" priority="74" operator="containsText" text="Large">
      <formula>NOT(ISERROR(SEARCH("Large",C50)))</formula>
    </cfRule>
    <cfRule type="containsText" dxfId="70" priority="75" operator="containsText" text="XL">
      <formula>NOT(ISERROR(SEARCH("XL",C50)))</formula>
    </cfRule>
  </conditionalFormatting>
  <conditionalFormatting sqref="C54">
    <cfRule type="containsText" dxfId="69" priority="66" operator="containsText" text="XS">
      <formula>NOT(ISERROR(SEARCH("XS",C54)))</formula>
    </cfRule>
    <cfRule type="containsText" dxfId="68" priority="67" operator="containsText" text="Small">
      <formula>NOT(ISERROR(SEARCH("Small",C54)))</formula>
    </cfRule>
    <cfRule type="containsText" dxfId="67" priority="68" operator="containsText" text="Medium">
      <formula>NOT(ISERROR(SEARCH("Medium",C54)))</formula>
    </cfRule>
    <cfRule type="containsText" dxfId="66" priority="69" operator="containsText" text="Large">
      <formula>NOT(ISERROR(SEARCH("Large",C54)))</formula>
    </cfRule>
    <cfRule type="containsText" dxfId="65" priority="70" operator="containsText" text="XL">
      <formula>NOT(ISERROR(SEARCH("XL",C54)))</formula>
    </cfRule>
  </conditionalFormatting>
  <conditionalFormatting sqref="C55">
    <cfRule type="containsText" dxfId="64" priority="61" operator="containsText" text="XS">
      <formula>NOT(ISERROR(SEARCH("XS",C55)))</formula>
    </cfRule>
    <cfRule type="containsText" dxfId="63" priority="62" operator="containsText" text="Small">
      <formula>NOT(ISERROR(SEARCH("Small",C55)))</formula>
    </cfRule>
    <cfRule type="containsText" dxfId="62" priority="63" operator="containsText" text="Medium">
      <formula>NOT(ISERROR(SEARCH("Medium",C55)))</formula>
    </cfRule>
    <cfRule type="containsText" dxfId="61" priority="64" operator="containsText" text="Large">
      <formula>NOT(ISERROR(SEARCH("Large",C55)))</formula>
    </cfRule>
    <cfRule type="containsText" dxfId="60" priority="65" operator="containsText" text="XL">
      <formula>NOT(ISERROR(SEARCH("XL",C55)))</formula>
    </cfRule>
  </conditionalFormatting>
  <conditionalFormatting sqref="C56">
    <cfRule type="containsText" dxfId="59" priority="56" operator="containsText" text="XS">
      <formula>NOT(ISERROR(SEARCH("XS",C56)))</formula>
    </cfRule>
    <cfRule type="containsText" dxfId="58" priority="57" operator="containsText" text="Small">
      <formula>NOT(ISERROR(SEARCH("Small",C56)))</formula>
    </cfRule>
    <cfRule type="containsText" dxfId="57" priority="58" operator="containsText" text="Medium">
      <formula>NOT(ISERROR(SEARCH("Medium",C56)))</formula>
    </cfRule>
    <cfRule type="containsText" dxfId="56" priority="59" operator="containsText" text="Large">
      <formula>NOT(ISERROR(SEARCH("Large",C56)))</formula>
    </cfRule>
    <cfRule type="containsText" dxfId="55" priority="60" operator="containsText" text="XL">
      <formula>NOT(ISERROR(SEARCH("XL",C56)))</formula>
    </cfRule>
  </conditionalFormatting>
  <conditionalFormatting sqref="C57">
    <cfRule type="containsText" dxfId="54" priority="51" operator="containsText" text="XS">
      <formula>NOT(ISERROR(SEARCH("XS",C57)))</formula>
    </cfRule>
    <cfRule type="containsText" dxfId="53" priority="52" operator="containsText" text="Small">
      <formula>NOT(ISERROR(SEARCH("Small",C57)))</formula>
    </cfRule>
    <cfRule type="containsText" dxfId="52" priority="53" operator="containsText" text="Medium">
      <formula>NOT(ISERROR(SEARCH("Medium",C57)))</formula>
    </cfRule>
    <cfRule type="containsText" dxfId="51" priority="54" operator="containsText" text="Large">
      <formula>NOT(ISERROR(SEARCH("Large",C57)))</formula>
    </cfRule>
    <cfRule type="containsText" dxfId="50" priority="55" operator="containsText" text="XL">
      <formula>NOT(ISERROR(SEARCH("XL",C57)))</formula>
    </cfRule>
  </conditionalFormatting>
  <conditionalFormatting sqref="C58">
    <cfRule type="containsText" dxfId="49" priority="46" operator="containsText" text="XS">
      <formula>NOT(ISERROR(SEARCH("XS",C58)))</formula>
    </cfRule>
    <cfRule type="containsText" dxfId="48" priority="47" operator="containsText" text="Small">
      <formula>NOT(ISERROR(SEARCH("Small",C58)))</formula>
    </cfRule>
    <cfRule type="containsText" dxfId="47" priority="48" operator="containsText" text="Medium">
      <formula>NOT(ISERROR(SEARCH("Medium",C58)))</formula>
    </cfRule>
    <cfRule type="containsText" dxfId="46" priority="49" operator="containsText" text="Large">
      <formula>NOT(ISERROR(SEARCH("Large",C58)))</formula>
    </cfRule>
    <cfRule type="containsText" dxfId="45" priority="50" operator="containsText" text="XL">
      <formula>NOT(ISERROR(SEARCH("XL",C58)))</formula>
    </cfRule>
  </conditionalFormatting>
  <conditionalFormatting sqref="C59">
    <cfRule type="containsText" dxfId="44" priority="41" operator="containsText" text="XS">
      <formula>NOT(ISERROR(SEARCH("XS",C59)))</formula>
    </cfRule>
    <cfRule type="containsText" dxfId="43" priority="42" operator="containsText" text="Small">
      <formula>NOT(ISERROR(SEARCH("Small",C59)))</formula>
    </cfRule>
    <cfRule type="containsText" dxfId="42" priority="43" operator="containsText" text="Medium">
      <formula>NOT(ISERROR(SEARCH("Medium",C59)))</formula>
    </cfRule>
    <cfRule type="containsText" dxfId="41" priority="44" operator="containsText" text="Large">
      <formula>NOT(ISERROR(SEARCH("Large",C59)))</formula>
    </cfRule>
    <cfRule type="containsText" dxfId="40" priority="45" operator="containsText" text="XL">
      <formula>NOT(ISERROR(SEARCH("XL",C59)))</formula>
    </cfRule>
  </conditionalFormatting>
  <conditionalFormatting sqref="C60">
    <cfRule type="containsText" dxfId="39" priority="36" operator="containsText" text="XS">
      <formula>NOT(ISERROR(SEARCH("XS",C60)))</formula>
    </cfRule>
    <cfRule type="containsText" dxfId="38" priority="37" operator="containsText" text="Small">
      <formula>NOT(ISERROR(SEARCH("Small",C60)))</formula>
    </cfRule>
    <cfRule type="containsText" dxfId="37" priority="38" operator="containsText" text="Medium">
      <formula>NOT(ISERROR(SEARCH("Medium",C60)))</formula>
    </cfRule>
    <cfRule type="containsText" dxfId="36" priority="39" operator="containsText" text="Large">
      <formula>NOT(ISERROR(SEARCH("Large",C60)))</formula>
    </cfRule>
    <cfRule type="containsText" dxfId="35" priority="40" operator="containsText" text="XL">
      <formula>NOT(ISERROR(SEARCH("XL",C60)))</formula>
    </cfRule>
  </conditionalFormatting>
  <conditionalFormatting sqref="C62">
    <cfRule type="containsText" dxfId="34" priority="31" operator="containsText" text="XS">
      <formula>NOT(ISERROR(SEARCH("XS",C62)))</formula>
    </cfRule>
    <cfRule type="containsText" dxfId="33" priority="32" operator="containsText" text="Small">
      <formula>NOT(ISERROR(SEARCH("Small",C62)))</formula>
    </cfRule>
    <cfRule type="containsText" dxfId="32" priority="33" operator="containsText" text="Medium">
      <formula>NOT(ISERROR(SEARCH("Medium",C62)))</formula>
    </cfRule>
    <cfRule type="containsText" dxfId="31" priority="34" operator="containsText" text="Large">
      <formula>NOT(ISERROR(SEARCH("Large",C62)))</formula>
    </cfRule>
    <cfRule type="containsText" dxfId="30" priority="35" operator="containsText" text="XL">
      <formula>NOT(ISERROR(SEARCH("XL",C62)))</formula>
    </cfRule>
  </conditionalFormatting>
  <conditionalFormatting sqref="C63">
    <cfRule type="containsText" dxfId="29" priority="26" operator="containsText" text="XS">
      <formula>NOT(ISERROR(SEARCH("XS",C63)))</formula>
    </cfRule>
    <cfRule type="containsText" dxfId="28" priority="27" operator="containsText" text="Small">
      <formula>NOT(ISERROR(SEARCH("Small",C63)))</formula>
    </cfRule>
    <cfRule type="containsText" dxfId="27" priority="28" operator="containsText" text="Medium">
      <formula>NOT(ISERROR(SEARCH("Medium",C63)))</formula>
    </cfRule>
    <cfRule type="containsText" dxfId="26" priority="29" operator="containsText" text="Large">
      <formula>NOT(ISERROR(SEARCH("Large",C63)))</formula>
    </cfRule>
    <cfRule type="containsText" dxfId="25" priority="30" operator="containsText" text="XL">
      <formula>NOT(ISERROR(SEARCH("XL",C63)))</formula>
    </cfRule>
  </conditionalFormatting>
  <conditionalFormatting sqref="C64">
    <cfRule type="containsText" dxfId="24" priority="21" operator="containsText" text="XS">
      <formula>NOT(ISERROR(SEARCH("XS",C64)))</formula>
    </cfRule>
    <cfRule type="containsText" dxfId="23" priority="22" operator="containsText" text="Small">
      <formula>NOT(ISERROR(SEARCH("Small",C64)))</formula>
    </cfRule>
    <cfRule type="containsText" dxfId="22" priority="23" operator="containsText" text="Medium">
      <formula>NOT(ISERROR(SEARCH("Medium",C64)))</formula>
    </cfRule>
    <cfRule type="containsText" dxfId="21" priority="24" operator="containsText" text="Large">
      <formula>NOT(ISERROR(SEARCH("Large",C64)))</formula>
    </cfRule>
    <cfRule type="containsText" dxfId="20" priority="25" operator="containsText" text="XL">
      <formula>NOT(ISERROR(SEARCH("XL",C64)))</formula>
    </cfRule>
  </conditionalFormatting>
  <conditionalFormatting sqref="C65">
    <cfRule type="containsText" dxfId="19" priority="16" operator="containsText" text="XS">
      <formula>NOT(ISERROR(SEARCH("XS",C65)))</formula>
    </cfRule>
    <cfRule type="containsText" dxfId="18" priority="17" operator="containsText" text="Small">
      <formula>NOT(ISERROR(SEARCH("Small",C65)))</formula>
    </cfRule>
    <cfRule type="containsText" dxfId="17" priority="18" operator="containsText" text="Medium">
      <formula>NOT(ISERROR(SEARCH("Medium",C65)))</formula>
    </cfRule>
    <cfRule type="containsText" dxfId="16" priority="19" operator="containsText" text="Large">
      <formula>NOT(ISERROR(SEARCH("Large",C65)))</formula>
    </cfRule>
    <cfRule type="containsText" dxfId="15" priority="20" operator="containsText" text="XL">
      <formula>NOT(ISERROR(SEARCH("XL",C65)))</formula>
    </cfRule>
  </conditionalFormatting>
  <conditionalFormatting sqref="C66">
    <cfRule type="containsText" dxfId="14" priority="11" operator="containsText" text="XS">
      <formula>NOT(ISERROR(SEARCH("XS",C66)))</formula>
    </cfRule>
    <cfRule type="containsText" dxfId="13" priority="12" operator="containsText" text="Small">
      <formula>NOT(ISERROR(SEARCH("Small",C66)))</formula>
    </cfRule>
    <cfRule type="containsText" dxfId="12" priority="13" operator="containsText" text="Medium">
      <formula>NOT(ISERROR(SEARCH("Medium",C66)))</formula>
    </cfRule>
    <cfRule type="containsText" dxfId="11" priority="14" operator="containsText" text="Large">
      <formula>NOT(ISERROR(SEARCH("Large",C66)))</formula>
    </cfRule>
    <cfRule type="containsText" dxfId="10" priority="15" operator="containsText" text="XL">
      <formula>NOT(ISERROR(SEARCH("XL",C66)))</formula>
    </cfRule>
  </conditionalFormatting>
  <conditionalFormatting sqref="C67">
    <cfRule type="containsText" dxfId="9" priority="6" operator="containsText" text="XS">
      <formula>NOT(ISERROR(SEARCH("XS",C67)))</formula>
    </cfRule>
    <cfRule type="containsText" dxfId="8" priority="7" operator="containsText" text="Small">
      <formula>NOT(ISERROR(SEARCH("Small",C67)))</formula>
    </cfRule>
    <cfRule type="containsText" dxfId="7" priority="8" operator="containsText" text="Medium">
      <formula>NOT(ISERROR(SEARCH("Medium",C67)))</formula>
    </cfRule>
    <cfRule type="containsText" dxfId="6" priority="9" operator="containsText" text="Large">
      <formula>NOT(ISERROR(SEARCH("Large",C67)))</formula>
    </cfRule>
    <cfRule type="containsText" dxfId="5" priority="10" operator="containsText" text="XL">
      <formula>NOT(ISERROR(SEARCH("XL",C67)))</formula>
    </cfRule>
  </conditionalFormatting>
  <conditionalFormatting sqref="C44:H68">
    <cfRule type="containsText" dxfId="4" priority="131" operator="containsText" text="48">
      <formula>NOT(ISERROR(SEARCH("48",C44)))</formula>
    </cfRule>
    <cfRule type="containsText" dxfId="3" priority="132" operator="containsText" text="51">
      <formula>NOT(ISERROR(SEARCH("51",C44)))</formula>
    </cfRule>
    <cfRule type="containsText" dxfId="2" priority="133" operator="containsText" text="54">
      <formula>NOT(ISERROR(SEARCH("54",C44)))</formula>
    </cfRule>
    <cfRule type="containsText" dxfId="1" priority="134" operator="containsText" text="56">
      <formula>NOT(ISERROR(SEARCH("56",C44)))</formula>
    </cfRule>
    <cfRule type="containsText" dxfId="0" priority="135" operator="containsText" text="58">
      <formula>NOT(ISERROR(SEARCH("58",C44)))</formula>
    </cfRule>
  </conditionalFormatting>
  <pageMargins left="0.7" right="0.7" top="0.75" bottom="0.75" header="0.3" footer="0.3"/>
  <pageSetup scale="4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5"/>
  </sheetPr>
  <dimension ref="B2:Y202"/>
  <sheetViews>
    <sheetView zoomScale="70" zoomScaleNormal="70" workbookViewId="0">
      <selection activeCell="H16" sqref="H16"/>
    </sheetView>
  </sheetViews>
  <sheetFormatPr defaultRowHeight="15" x14ac:dyDescent="0.25"/>
  <cols>
    <col min="2" max="2" width="57.140625" customWidth="1"/>
    <col min="5" max="5" width="10.42578125" customWidth="1"/>
    <col min="6" max="6" width="12.140625" customWidth="1"/>
    <col min="7" max="7" width="17" customWidth="1"/>
    <col min="9" max="9" width="18.7109375" customWidth="1"/>
    <col min="14" max="14" width="20.28515625" customWidth="1"/>
  </cols>
  <sheetData>
    <row r="2" spans="2:25" x14ac:dyDescent="0.25">
      <c r="B2" t="s">
        <v>8</v>
      </c>
      <c r="I2" t="s">
        <v>38</v>
      </c>
      <c r="N2" t="s">
        <v>39</v>
      </c>
      <c r="P2">
        <f>100+55</f>
        <v>155</v>
      </c>
      <c r="Q2">
        <f>350-80+30+55</f>
        <v>355</v>
      </c>
      <c r="S2" s="1" t="s">
        <v>72</v>
      </c>
    </row>
    <row r="3" spans="2:25" x14ac:dyDescent="0.25">
      <c r="B3" t="s">
        <v>0</v>
      </c>
      <c r="C3" t="s">
        <v>2</v>
      </c>
      <c r="D3" t="s">
        <v>1</v>
      </c>
      <c r="I3" t="s">
        <v>0</v>
      </c>
      <c r="J3" t="s">
        <v>21</v>
      </c>
      <c r="K3" t="s">
        <v>22</v>
      </c>
      <c r="S3" t="s">
        <v>21</v>
      </c>
      <c r="T3">
        <v>-30</v>
      </c>
    </row>
    <row r="4" spans="2:25" x14ac:dyDescent="0.25">
      <c r="B4" s="5">
        <v>47</v>
      </c>
      <c r="C4">
        <v>387</v>
      </c>
      <c r="D4">
        <v>433</v>
      </c>
      <c r="I4">
        <f>B4</f>
        <v>47</v>
      </c>
      <c r="J4">
        <f>D4+$P$2</f>
        <v>588</v>
      </c>
      <c r="K4">
        <f>D4+$Q$2</f>
        <v>788</v>
      </c>
      <c r="N4" t="s">
        <v>55</v>
      </c>
      <c r="O4" t="s">
        <v>42</v>
      </c>
      <c r="P4" t="s">
        <v>41</v>
      </c>
      <c r="S4" t="s">
        <v>22</v>
      </c>
      <c r="T4">
        <v>50</v>
      </c>
    </row>
    <row r="5" spans="2:25" x14ac:dyDescent="0.25">
      <c r="B5" s="5">
        <v>51</v>
      </c>
      <c r="C5">
        <v>399</v>
      </c>
      <c r="D5">
        <v>488</v>
      </c>
      <c r="I5">
        <f t="shared" ref="I5:I8" si="0">B5</f>
        <v>51</v>
      </c>
      <c r="J5">
        <f t="shared" ref="J5:J8" si="1">D5+$P$2</f>
        <v>643</v>
      </c>
      <c r="K5">
        <f t="shared" ref="K5:K8" si="2">D5+$Q$2</f>
        <v>843</v>
      </c>
      <c r="N5">
        <f>B4</f>
        <v>47</v>
      </c>
      <c r="O5">
        <v>75</v>
      </c>
      <c r="P5">
        <v>78.8</v>
      </c>
    </row>
    <row r="6" spans="2:25" x14ac:dyDescent="0.25">
      <c r="B6" s="5">
        <v>54</v>
      </c>
      <c r="C6">
        <v>416</v>
      </c>
      <c r="D6">
        <v>497</v>
      </c>
      <c r="I6">
        <f t="shared" si="0"/>
        <v>54</v>
      </c>
      <c r="J6">
        <f t="shared" si="1"/>
        <v>652</v>
      </c>
      <c r="K6">
        <f t="shared" si="2"/>
        <v>852</v>
      </c>
      <c r="N6">
        <f t="shared" ref="N6:N9" si="3">B5</f>
        <v>51</v>
      </c>
      <c r="O6">
        <v>74.5</v>
      </c>
      <c r="P6">
        <v>78.099999999999994</v>
      </c>
      <c r="S6" s="1" t="s">
        <v>2</v>
      </c>
    </row>
    <row r="7" spans="2:25" x14ac:dyDescent="0.25">
      <c r="B7" s="5">
        <v>56</v>
      </c>
      <c r="C7">
        <v>432</v>
      </c>
      <c r="D7">
        <v>516</v>
      </c>
      <c r="I7">
        <f t="shared" si="0"/>
        <v>56</v>
      </c>
      <c r="J7">
        <f t="shared" si="1"/>
        <v>671</v>
      </c>
      <c r="K7">
        <f t="shared" si="2"/>
        <v>871</v>
      </c>
      <c r="N7">
        <f t="shared" si="3"/>
        <v>54</v>
      </c>
      <c r="O7">
        <v>74.5</v>
      </c>
      <c r="P7">
        <v>78</v>
      </c>
      <c r="S7" s="1" t="s">
        <v>70</v>
      </c>
      <c r="T7" t="str">
        <f>B11</f>
        <v>70x30</v>
      </c>
      <c r="U7" t="str">
        <f>B12</f>
        <v>70x60</v>
      </c>
      <c r="V7" t="str">
        <f>B13</f>
        <v>100x30</v>
      </c>
      <c r="W7" t="str">
        <f>B14</f>
        <v>100x60</v>
      </c>
      <c r="X7" t="s">
        <v>77</v>
      </c>
      <c r="Y7" t="s">
        <v>78</v>
      </c>
    </row>
    <row r="8" spans="2:25" x14ac:dyDescent="0.25">
      <c r="B8" s="5">
        <v>58</v>
      </c>
      <c r="C8">
        <v>447</v>
      </c>
      <c r="D8">
        <v>536</v>
      </c>
      <c r="I8">
        <f t="shared" si="0"/>
        <v>58</v>
      </c>
      <c r="J8">
        <f t="shared" si="1"/>
        <v>691</v>
      </c>
      <c r="K8">
        <f t="shared" si="2"/>
        <v>891</v>
      </c>
      <c r="N8">
        <f t="shared" si="3"/>
        <v>56</v>
      </c>
      <c r="O8">
        <v>74.5</v>
      </c>
      <c r="P8">
        <v>78</v>
      </c>
      <c r="S8" s="5">
        <f>B4</f>
        <v>47</v>
      </c>
      <c r="T8">
        <f>C4+$C$11+$C$20</f>
        <v>424</v>
      </c>
      <c r="U8">
        <f>C4+$C$12+$C$20</f>
        <v>414</v>
      </c>
      <c r="V8">
        <f>C4+$C$13+$C$20</f>
        <v>454</v>
      </c>
      <c r="W8">
        <f>C4+$C$14+$C$20</f>
        <v>445</v>
      </c>
      <c r="X8">
        <f>C4+$C$15+$C$20</f>
        <v>449</v>
      </c>
      <c r="Y8">
        <f>C4+$C$16+$C$20</f>
        <v>469</v>
      </c>
    </row>
    <row r="9" spans="2:25" x14ac:dyDescent="0.25">
      <c r="N9">
        <f t="shared" si="3"/>
        <v>58</v>
      </c>
      <c r="O9">
        <v>74.5</v>
      </c>
      <c r="P9">
        <v>78</v>
      </c>
      <c r="S9" s="5">
        <f>B5</f>
        <v>51</v>
      </c>
      <c r="T9">
        <f>C5+$C$11+$C$20</f>
        <v>436</v>
      </c>
      <c r="U9">
        <f>C5+$C$12+$C$20</f>
        <v>426</v>
      </c>
      <c r="V9">
        <f>C5+$C$13+$C$20</f>
        <v>466</v>
      </c>
      <c r="W9">
        <f>C5+$C$14+$C$20</f>
        <v>457</v>
      </c>
      <c r="X9">
        <f>C5+$C$15+$C$20</f>
        <v>461</v>
      </c>
      <c r="Y9">
        <f>C5+$C$16+$C$20</f>
        <v>481</v>
      </c>
    </row>
    <row r="10" spans="2:25" x14ac:dyDescent="0.25">
      <c r="B10" t="s">
        <v>60</v>
      </c>
      <c r="C10" t="s">
        <v>2</v>
      </c>
      <c r="D10" t="s">
        <v>1</v>
      </c>
      <c r="S10" s="5">
        <f>B6</f>
        <v>54</v>
      </c>
      <c r="T10">
        <f>C6+$C$11+$C$20</f>
        <v>453</v>
      </c>
      <c r="U10">
        <f>C6+$C$12+$C$20</f>
        <v>443</v>
      </c>
      <c r="V10">
        <f>C6+$C$13+$C$20</f>
        <v>483</v>
      </c>
      <c r="W10">
        <f>C6+$C$14+$C$20</f>
        <v>474</v>
      </c>
      <c r="X10">
        <f>C6+$C$15+$C$20</f>
        <v>478</v>
      </c>
      <c r="Y10">
        <f>C6+$C$16+$C$20</f>
        <v>498</v>
      </c>
    </row>
    <row r="11" spans="2:25" x14ac:dyDescent="0.25">
      <c r="B11" t="s">
        <v>61</v>
      </c>
      <c r="C11">
        <v>57</v>
      </c>
      <c r="D11">
        <v>56</v>
      </c>
      <c r="S11" s="5">
        <f>B7</f>
        <v>56</v>
      </c>
      <c r="T11">
        <f>C7+$C$11+$C$20</f>
        <v>469</v>
      </c>
      <c r="U11">
        <f>C7+$C$12+$C$20</f>
        <v>459</v>
      </c>
      <c r="V11">
        <f>C7+$C$13+$C$20</f>
        <v>499</v>
      </c>
      <c r="W11">
        <f>C7+$C$14+$C$20</f>
        <v>490</v>
      </c>
      <c r="X11">
        <f>C7+$C$15+$C$20</f>
        <v>494</v>
      </c>
      <c r="Y11">
        <f>C7+$C$16+$C$20</f>
        <v>514</v>
      </c>
    </row>
    <row r="12" spans="2:25" x14ac:dyDescent="0.25">
      <c r="B12" t="s">
        <v>62</v>
      </c>
      <c r="C12">
        <v>47</v>
      </c>
      <c r="D12">
        <v>87</v>
      </c>
      <c r="N12" t="s">
        <v>56</v>
      </c>
      <c r="O12" t="s">
        <v>42</v>
      </c>
      <c r="P12" t="s">
        <v>41</v>
      </c>
      <c r="S12" s="5">
        <f>B8</f>
        <v>58</v>
      </c>
      <c r="T12">
        <f>C8+$C$11+$C$20</f>
        <v>484</v>
      </c>
      <c r="U12">
        <f>C8+$C$12+$C$20</f>
        <v>474</v>
      </c>
      <c r="V12">
        <f>C8+$C$13+$C$20</f>
        <v>514</v>
      </c>
      <c r="W12">
        <f>C8+$C$14+$C$20</f>
        <v>505</v>
      </c>
      <c r="X12">
        <f>C8+$C$15+$C$20</f>
        <v>509</v>
      </c>
      <c r="Y12">
        <f>C8+$C$16+$C$20</f>
        <v>529</v>
      </c>
    </row>
    <row r="13" spans="2:25" x14ac:dyDescent="0.25">
      <c r="B13" t="s">
        <v>63</v>
      </c>
      <c r="C13">
        <v>87</v>
      </c>
      <c r="D13">
        <v>57</v>
      </c>
      <c r="N13" t="s">
        <v>57</v>
      </c>
      <c r="O13">
        <v>120</v>
      </c>
      <c r="P13">
        <v>160</v>
      </c>
      <c r="S13" s="1" t="s">
        <v>79</v>
      </c>
    </row>
    <row r="14" spans="2:25" x14ac:dyDescent="0.25">
      <c r="B14" t="s">
        <v>64</v>
      </c>
      <c r="C14">
        <v>78</v>
      </c>
      <c r="D14">
        <v>87</v>
      </c>
      <c r="S14" s="5">
        <f>S8</f>
        <v>47</v>
      </c>
      <c r="T14">
        <f>ROUND(T8/5,0)*5</f>
        <v>425</v>
      </c>
      <c r="U14">
        <f t="shared" ref="U14:Y14" si="4">ROUND(U8/5,0)*5</f>
        <v>415</v>
      </c>
      <c r="V14">
        <f t="shared" si="4"/>
        <v>455</v>
      </c>
      <c r="W14">
        <f t="shared" si="4"/>
        <v>445</v>
      </c>
      <c r="X14">
        <f t="shared" si="4"/>
        <v>450</v>
      </c>
      <c r="Y14">
        <f t="shared" si="4"/>
        <v>470</v>
      </c>
    </row>
    <row r="15" spans="2:25" x14ac:dyDescent="0.25">
      <c r="B15" t="s">
        <v>77</v>
      </c>
      <c r="C15">
        <v>82</v>
      </c>
      <c r="D15">
        <v>25</v>
      </c>
      <c r="S15" s="5">
        <f t="shared" ref="S15:S18" si="5">S9</f>
        <v>51</v>
      </c>
      <c r="T15">
        <f t="shared" ref="T15:Y15" si="6">ROUND(T9/5,0)*5</f>
        <v>435</v>
      </c>
      <c r="U15">
        <f t="shared" si="6"/>
        <v>425</v>
      </c>
      <c r="V15">
        <f t="shared" si="6"/>
        <v>465</v>
      </c>
      <c r="W15">
        <f t="shared" si="6"/>
        <v>455</v>
      </c>
      <c r="X15">
        <f t="shared" si="6"/>
        <v>460</v>
      </c>
      <c r="Y15">
        <f t="shared" si="6"/>
        <v>480</v>
      </c>
    </row>
    <row r="16" spans="2:25" x14ac:dyDescent="0.25">
      <c r="B16" t="s">
        <v>78</v>
      </c>
      <c r="C16">
        <v>102</v>
      </c>
      <c r="D16">
        <v>25</v>
      </c>
      <c r="S16" s="5">
        <f t="shared" si="5"/>
        <v>54</v>
      </c>
      <c r="T16">
        <f t="shared" ref="T16:Y16" si="7">ROUND(T10/5,0)*5</f>
        <v>455</v>
      </c>
      <c r="U16">
        <f t="shared" si="7"/>
        <v>445</v>
      </c>
      <c r="V16">
        <f t="shared" si="7"/>
        <v>485</v>
      </c>
      <c r="W16">
        <f t="shared" si="7"/>
        <v>475</v>
      </c>
      <c r="X16">
        <f t="shared" si="7"/>
        <v>480</v>
      </c>
      <c r="Y16">
        <f t="shared" si="7"/>
        <v>500</v>
      </c>
    </row>
    <row r="17" spans="2:25" x14ac:dyDescent="0.25">
      <c r="S17" s="5">
        <f t="shared" si="5"/>
        <v>56</v>
      </c>
      <c r="T17">
        <f t="shared" ref="T17:Y17" si="8">ROUND(T11/5,0)*5</f>
        <v>470</v>
      </c>
      <c r="U17">
        <f t="shared" si="8"/>
        <v>460</v>
      </c>
      <c r="V17">
        <f t="shared" si="8"/>
        <v>500</v>
      </c>
      <c r="W17">
        <f t="shared" si="8"/>
        <v>490</v>
      </c>
      <c r="X17">
        <f t="shared" si="8"/>
        <v>495</v>
      </c>
      <c r="Y17">
        <f t="shared" si="8"/>
        <v>515</v>
      </c>
    </row>
    <row r="18" spans="2:25" x14ac:dyDescent="0.25">
      <c r="B18" t="s">
        <v>65</v>
      </c>
      <c r="C18" t="s">
        <v>2</v>
      </c>
      <c r="D18" t="s">
        <v>1</v>
      </c>
      <c r="S18" s="5">
        <f t="shared" si="5"/>
        <v>58</v>
      </c>
      <c r="T18">
        <f t="shared" ref="T18:Y18" si="9">ROUND(T12/5,0)*5</f>
        <v>485</v>
      </c>
      <c r="U18">
        <f t="shared" si="9"/>
        <v>475</v>
      </c>
      <c r="V18">
        <f t="shared" si="9"/>
        <v>515</v>
      </c>
      <c r="W18">
        <f t="shared" si="9"/>
        <v>505</v>
      </c>
      <c r="X18">
        <f t="shared" si="9"/>
        <v>510</v>
      </c>
      <c r="Y18">
        <f t="shared" si="9"/>
        <v>530</v>
      </c>
    </row>
    <row r="19" spans="2:25" x14ac:dyDescent="0.25">
      <c r="B19" t="s">
        <v>116</v>
      </c>
      <c r="C19">
        <v>-18</v>
      </c>
      <c r="D19">
        <v>42</v>
      </c>
      <c r="S19" s="1" t="s">
        <v>80</v>
      </c>
    </row>
    <row r="20" spans="2:25" x14ac:dyDescent="0.25">
      <c r="B20" t="s">
        <v>117</v>
      </c>
      <c r="C20">
        <v>-20</v>
      </c>
      <c r="D20">
        <v>52</v>
      </c>
      <c r="S20" s="5">
        <f>S8</f>
        <v>47</v>
      </c>
      <c r="T20">
        <f>T14+$T$3</f>
        <v>395</v>
      </c>
      <c r="U20">
        <f t="shared" ref="U20:Y20" si="10">U14+$T$3</f>
        <v>385</v>
      </c>
      <c r="V20">
        <f t="shared" si="10"/>
        <v>425</v>
      </c>
      <c r="W20">
        <f t="shared" si="10"/>
        <v>415</v>
      </c>
      <c r="X20">
        <f t="shared" si="10"/>
        <v>420</v>
      </c>
      <c r="Y20">
        <f t="shared" si="10"/>
        <v>440</v>
      </c>
    </row>
    <row r="21" spans="2:25" x14ac:dyDescent="0.25">
      <c r="E21" s="4" t="s">
        <v>48</v>
      </c>
      <c r="S21" s="5">
        <f t="shared" ref="S21:S24" si="11">S9</f>
        <v>51</v>
      </c>
      <c r="T21">
        <f t="shared" ref="T21:Y21" si="12">T15+$T$3</f>
        <v>405</v>
      </c>
      <c r="U21">
        <f t="shared" si="12"/>
        <v>395</v>
      </c>
      <c r="V21">
        <f t="shared" si="12"/>
        <v>435</v>
      </c>
      <c r="W21">
        <f t="shared" si="12"/>
        <v>425</v>
      </c>
      <c r="X21">
        <f t="shared" si="12"/>
        <v>430</v>
      </c>
      <c r="Y21">
        <f t="shared" si="12"/>
        <v>450</v>
      </c>
    </row>
    <row r="22" spans="2:25" x14ac:dyDescent="0.25">
      <c r="B22" t="s">
        <v>9</v>
      </c>
      <c r="E22" t="s">
        <v>49</v>
      </c>
      <c r="F22" t="s">
        <v>50</v>
      </c>
      <c r="S22" s="5">
        <f t="shared" si="11"/>
        <v>54</v>
      </c>
      <c r="T22">
        <f t="shared" ref="T22:Y22" si="13">T16+$T$3</f>
        <v>425</v>
      </c>
      <c r="U22">
        <f t="shared" si="13"/>
        <v>415</v>
      </c>
      <c r="V22">
        <f t="shared" si="13"/>
        <v>455</v>
      </c>
      <c r="W22">
        <f t="shared" si="13"/>
        <v>445</v>
      </c>
      <c r="X22">
        <f t="shared" si="13"/>
        <v>450</v>
      </c>
      <c r="Y22">
        <f t="shared" si="13"/>
        <v>470</v>
      </c>
    </row>
    <row r="23" spans="2:25" x14ac:dyDescent="0.25">
      <c r="B23" t="str">
        <f>"Stem: "&amp;TEXT($B$11,0)&amp;" "&amp;" ----- "&amp;TEXT($B$19,0)</f>
        <v>Stem: 70x30  ----- Carbon Aerobar</v>
      </c>
      <c r="E23" t="s">
        <v>102</v>
      </c>
      <c r="F23" t="s">
        <v>102</v>
      </c>
      <c r="G23" t="str">
        <f>IF(AND(E23="N/A",F23="N/A"),TEXT($E$21,0)&amp;" "&amp;TEXT($E$22,0)&amp;" "&amp;E23&amp;"; "&amp;TEXT($F$22,0)&amp;" "&amp;F23&amp;" ",IF(F23="N/A",TEXT($E$21,0)&amp;" "&amp;TEXT($E$22,0)&amp;" "&amp;E23&amp;"mm; "&amp;TEXT($F$22,0)&amp;" "&amp;F23&amp;" ",TEXT($E$21,0)&amp;" "&amp;TEXT($E$22,0)&amp;" "&amp;E23&amp;"mm; "&amp;TEXT($F$22,0)&amp;" "&amp;F23&amp;"mm "))</f>
        <v xml:space="preserve">Aerobar Bolts: Top N/A; Bottom N/A </v>
      </c>
      <c r="S23" s="5">
        <f t="shared" si="11"/>
        <v>56</v>
      </c>
      <c r="T23">
        <f t="shared" ref="T23:Y23" si="14">T17+$T$3</f>
        <v>440</v>
      </c>
      <c r="U23">
        <f t="shared" si="14"/>
        <v>430</v>
      </c>
      <c r="V23">
        <f t="shared" si="14"/>
        <v>470</v>
      </c>
      <c r="W23">
        <f t="shared" si="14"/>
        <v>460</v>
      </c>
      <c r="X23">
        <f t="shared" si="14"/>
        <v>465</v>
      </c>
      <c r="Y23">
        <f t="shared" si="14"/>
        <v>485</v>
      </c>
    </row>
    <row r="24" spans="2:25" x14ac:dyDescent="0.25">
      <c r="B24" t="str">
        <f>TEXT($B$23,0) &amp; " + 5"</f>
        <v>Stem: 70x30  ----- Carbon Aerobar + 5</v>
      </c>
      <c r="C24">
        <f t="shared" ref="C24:C37" si="15">$C$11+$C$19</f>
        <v>39</v>
      </c>
      <c r="D24">
        <f>$D$11+$D$19</f>
        <v>98</v>
      </c>
      <c r="E24">
        <v>45</v>
      </c>
      <c r="F24" t="s">
        <v>102</v>
      </c>
      <c r="G24" t="str">
        <f t="shared" ref="G24:G87" si="16">IF(AND(E24="N/A",F24="N/A"),TEXT($E$21,0)&amp;" "&amp;TEXT($E$22,0)&amp;" "&amp;E24&amp;"; "&amp;TEXT($F$22,0)&amp;" "&amp;F24&amp;" ",IF(F24="N/A",TEXT($E$21,0)&amp;" "&amp;TEXT($E$22,0)&amp;" "&amp;E24&amp;"mm; "&amp;TEXT($F$22,0)&amp;" "&amp;F24&amp;" ",TEXT($E$21,0)&amp;" "&amp;TEXT($E$22,0)&amp;" "&amp;E24&amp;"mm; "&amp;TEXT($F$22,0)&amp;" "&amp;F24&amp;"mm "))</f>
        <v xml:space="preserve">Aerobar Bolts: Top 45mm; Bottom N/A </v>
      </c>
      <c r="L24">
        <f>447+57-20-30</f>
        <v>454</v>
      </c>
      <c r="S24" s="5">
        <f t="shared" si="11"/>
        <v>58</v>
      </c>
      <c r="T24">
        <f t="shared" ref="T24:Y24" si="17">T18+$T$3</f>
        <v>455</v>
      </c>
      <c r="U24">
        <f t="shared" si="17"/>
        <v>445</v>
      </c>
      <c r="V24">
        <f t="shared" si="17"/>
        <v>485</v>
      </c>
      <c r="W24">
        <f t="shared" si="17"/>
        <v>475</v>
      </c>
      <c r="X24">
        <f t="shared" si="17"/>
        <v>480</v>
      </c>
      <c r="Y24">
        <f t="shared" si="17"/>
        <v>500</v>
      </c>
    </row>
    <row r="25" spans="2:25" x14ac:dyDescent="0.25">
      <c r="B25" t="str">
        <f>TEXT($B$23,0) &amp; " + 10"</f>
        <v>Stem: 70x30  ----- Carbon Aerobar + 10</v>
      </c>
      <c r="C25">
        <f t="shared" si="15"/>
        <v>39</v>
      </c>
      <c r="D25">
        <f>$D$11+$D$19+5</f>
        <v>103</v>
      </c>
      <c r="E25">
        <v>50</v>
      </c>
      <c r="F25" t="s">
        <v>102</v>
      </c>
      <c r="G25" t="str">
        <f t="shared" si="16"/>
        <v xml:space="preserve">Aerobar Bolts: Top 50mm; Bottom N/A </v>
      </c>
      <c r="S25" s="10" t="s">
        <v>81</v>
      </c>
    </row>
    <row r="26" spans="2:25" x14ac:dyDescent="0.25">
      <c r="B26" t="str">
        <f>TEXT($B$23,0) &amp; " + 5 + 10"</f>
        <v>Stem: 70x30  ----- Carbon Aerobar + 5 + 10</v>
      </c>
      <c r="C26">
        <f t="shared" si="15"/>
        <v>39</v>
      </c>
      <c r="D26">
        <f>$D$11+$D$19+10</f>
        <v>108</v>
      </c>
      <c r="E26">
        <v>55</v>
      </c>
      <c r="F26" t="s">
        <v>102</v>
      </c>
      <c r="G26" t="str">
        <f t="shared" si="16"/>
        <v xml:space="preserve">Aerobar Bolts: Top 55mm; Bottom N/A </v>
      </c>
      <c r="S26" s="5">
        <f>S20</f>
        <v>47</v>
      </c>
      <c r="T26">
        <f>T14+$T$4</f>
        <v>475</v>
      </c>
      <c r="U26">
        <f t="shared" ref="U26:Y26" si="18">U14+$T$4</f>
        <v>465</v>
      </c>
      <c r="V26">
        <f t="shared" si="18"/>
        <v>505</v>
      </c>
      <c r="W26">
        <f t="shared" si="18"/>
        <v>495</v>
      </c>
      <c r="X26">
        <f t="shared" si="18"/>
        <v>500</v>
      </c>
      <c r="Y26">
        <f t="shared" si="18"/>
        <v>520</v>
      </c>
    </row>
    <row r="27" spans="2:25" x14ac:dyDescent="0.25">
      <c r="B27" t="str">
        <f>TEXT($B$23,0) &amp; " + 20"</f>
        <v>Stem: 70x30  ----- Carbon Aerobar + 20</v>
      </c>
      <c r="C27">
        <f t="shared" si="15"/>
        <v>39</v>
      </c>
      <c r="D27">
        <f>$D$11+$D$19+15</f>
        <v>113</v>
      </c>
      <c r="E27">
        <v>20</v>
      </c>
      <c r="F27">
        <v>30</v>
      </c>
      <c r="G27" t="str">
        <f t="shared" si="16"/>
        <v xml:space="preserve">Aerobar Bolts: Top 20mm; Bottom 30mm </v>
      </c>
      <c r="L27" t="s">
        <v>11</v>
      </c>
      <c r="S27" s="5">
        <f t="shared" ref="S27:S30" si="19">S21</f>
        <v>51</v>
      </c>
      <c r="T27">
        <f t="shared" ref="T27:Y27" si="20">T15+$T$4</f>
        <v>485</v>
      </c>
      <c r="U27">
        <f t="shared" si="20"/>
        <v>475</v>
      </c>
      <c r="V27">
        <f t="shared" si="20"/>
        <v>515</v>
      </c>
      <c r="W27">
        <f t="shared" si="20"/>
        <v>505</v>
      </c>
      <c r="X27">
        <f t="shared" si="20"/>
        <v>510</v>
      </c>
      <c r="Y27">
        <f t="shared" si="20"/>
        <v>530</v>
      </c>
    </row>
    <row r="28" spans="2:25" x14ac:dyDescent="0.25">
      <c r="B28" t="str">
        <f>TEXT($B$23,0) &amp; " + 20 + 5"</f>
        <v>Stem: 70x30  ----- Carbon Aerobar + 20 + 5</v>
      </c>
      <c r="C28">
        <f t="shared" si="15"/>
        <v>39</v>
      </c>
      <c r="D28">
        <f>$D$11+$D$19+20</f>
        <v>118</v>
      </c>
      <c r="E28">
        <v>25</v>
      </c>
      <c r="F28">
        <v>30</v>
      </c>
      <c r="G28" t="str">
        <f t="shared" si="16"/>
        <v xml:space="preserve">Aerobar Bolts: Top 25mm; Bottom 30mm </v>
      </c>
      <c r="S28" s="5">
        <f t="shared" si="19"/>
        <v>54</v>
      </c>
      <c r="T28">
        <f t="shared" ref="T28:Y28" si="21">T16+$T$4</f>
        <v>505</v>
      </c>
      <c r="U28">
        <f t="shared" si="21"/>
        <v>495</v>
      </c>
      <c r="V28">
        <f t="shared" si="21"/>
        <v>535</v>
      </c>
      <c r="W28">
        <f t="shared" si="21"/>
        <v>525</v>
      </c>
      <c r="X28">
        <f t="shared" si="21"/>
        <v>530</v>
      </c>
      <c r="Y28">
        <f t="shared" si="21"/>
        <v>550</v>
      </c>
    </row>
    <row r="29" spans="2:25" x14ac:dyDescent="0.25">
      <c r="B29" t="str">
        <f>TEXT($B$23,0) &amp; " + 20 + bridge"</f>
        <v>Stem: 70x30  ----- Carbon Aerobar + 20 + bridge</v>
      </c>
      <c r="C29">
        <f t="shared" si="15"/>
        <v>39</v>
      </c>
      <c r="D29">
        <f>$D$11+$D$19+20</f>
        <v>118</v>
      </c>
      <c r="E29">
        <v>25</v>
      </c>
      <c r="F29">
        <v>30</v>
      </c>
      <c r="G29" t="str">
        <f t="shared" si="16"/>
        <v xml:space="preserve">Aerobar Bolts: Top 25mm; Bottom 30mm </v>
      </c>
      <c r="S29" s="5">
        <f t="shared" si="19"/>
        <v>56</v>
      </c>
      <c r="T29">
        <f t="shared" ref="T29:Y29" si="22">T17+$T$4</f>
        <v>520</v>
      </c>
      <c r="U29">
        <f t="shared" si="22"/>
        <v>510</v>
      </c>
      <c r="V29">
        <f t="shared" si="22"/>
        <v>550</v>
      </c>
      <c r="W29">
        <f t="shared" si="22"/>
        <v>540</v>
      </c>
      <c r="X29">
        <f t="shared" si="22"/>
        <v>545</v>
      </c>
      <c r="Y29">
        <f t="shared" si="22"/>
        <v>565</v>
      </c>
    </row>
    <row r="30" spans="2:25" x14ac:dyDescent="0.25">
      <c r="B30" t="str">
        <f>TEXT($B$23,0) &amp; " + 30"</f>
        <v>Stem: 70x30  ----- Carbon Aerobar + 30</v>
      </c>
      <c r="C30">
        <f t="shared" si="15"/>
        <v>39</v>
      </c>
      <c r="D30">
        <f>$D$11+$D$19+25</f>
        <v>123</v>
      </c>
      <c r="E30">
        <v>25</v>
      </c>
      <c r="F30">
        <v>30</v>
      </c>
      <c r="G30" t="str">
        <f t="shared" si="16"/>
        <v xml:space="preserve">Aerobar Bolts: Top 25mm; Bottom 30mm </v>
      </c>
      <c r="S30" s="5">
        <f t="shared" si="19"/>
        <v>58</v>
      </c>
      <c r="T30">
        <f t="shared" ref="T30:Y30" si="23">T18+$T$4</f>
        <v>535</v>
      </c>
      <c r="U30">
        <f t="shared" si="23"/>
        <v>525</v>
      </c>
      <c r="V30">
        <f t="shared" si="23"/>
        <v>565</v>
      </c>
      <c r="W30">
        <f t="shared" si="23"/>
        <v>555</v>
      </c>
      <c r="X30">
        <f t="shared" si="23"/>
        <v>560</v>
      </c>
      <c r="Y30">
        <f t="shared" si="23"/>
        <v>580</v>
      </c>
    </row>
    <row r="31" spans="2:25" x14ac:dyDescent="0.25">
      <c r="B31" t="str">
        <f>TEXT($B$23,0) &amp; " + 20 + bridge + 5"</f>
        <v>Stem: 70x30  ----- Carbon Aerobar + 20 + bridge + 5</v>
      </c>
      <c r="C31">
        <f t="shared" si="15"/>
        <v>39</v>
      </c>
      <c r="D31">
        <f>$D$11+$D$19+25</f>
        <v>123</v>
      </c>
      <c r="E31">
        <v>30</v>
      </c>
      <c r="F31">
        <v>30</v>
      </c>
      <c r="G31" t="str">
        <f t="shared" si="16"/>
        <v xml:space="preserve">Aerobar Bolts: Top 30mm; Bottom 30mm </v>
      </c>
      <c r="S31" s="5"/>
    </row>
    <row r="32" spans="2:25" x14ac:dyDescent="0.25">
      <c r="B32" t="str">
        <f>TEXT($B$23,0) &amp; " + 30 + bridge"</f>
        <v>Stem: 70x30  ----- Carbon Aerobar + 30 + bridge</v>
      </c>
      <c r="C32">
        <f t="shared" si="15"/>
        <v>39</v>
      </c>
      <c r="D32">
        <f>$D$11+$D$19+30</f>
        <v>128</v>
      </c>
      <c r="E32">
        <v>30</v>
      </c>
      <c r="F32">
        <v>30</v>
      </c>
      <c r="G32" t="str">
        <f t="shared" si="16"/>
        <v xml:space="preserve">Aerobar Bolts: Top 30mm; Bottom 30mm </v>
      </c>
      <c r="S32" s="5"/>
    </row>
    <row r="33" spans="2:7" x14ac:dyDescent="0.25">
      <c r="B33" t="str">
        <f>TEXT($B$23,0) &amp; " + 30 + bridge + 5"</f>
        <v>Stem: 70x30  ----- Carbon Aerobar + 30 + bridge + 5</v>
      </c>
      <c r="C33">
        <f t="shared" si="15"/>
        <v>39</v>
      </c>
      <c r="D33">
        <f>$D$11+$D$19+35</f>
        <v>133</v>
      </c>
      <c r="E33">
        <v>35</v>
      </c>
      <c r="F33">
        <v>30</v>
      </c>
      <c r="G33" t="str">
        <f t="shared" si="16"/>
        <v xml:space="preserve">Aerobar Bolts: Top 35mm; Bottom 30mm </v>
      </c>
    </row>
    <row r="34" spans="2:7" x14ac:dyDescent="0.25">
      <c r="B34" t="str">
        <f>TEXT($B$23,0) &amp; " + 40 + bridge"</f>
        <v>Stem: 70x30  ----- Carbon Aerobar + 40 + bridge</v>
      </c>
      <c r="C34">
        <f t="shared" si="15"/>
        <v>39</v>
      </c>
      <c r="D34">
        <f>$D$11+$D$19+40</f>
        <v>138</v>
      </c>
      <c r="E34">
        <v>35</v>
      </c>
      <c r="F34">
        <v>30</v>
      </c>
      <c r="G34" t="str">
        <f t="shared" si="16"/>
        <v xml:space="preserve">Aerobar Bolts: Top 35mm; Bottom 30mm </v>
      </c>
    </row>
    <row r="35" spans="2:7" x14ac:dyDescent="0.25">
      <c r="B35" t="str">
        <f>TEXT($B$23,0) &amp; " + 40 + bridge + 5"</f>
        <v>Stem: 70x30  ----- Carbon Aerobar + 40 + bridge + 5</v>
      </c>
      <c r="C35">
        <f t="shared" si="15"/>
        <v>39</v>
      </c>
      <c r="D35">
        <f>$D$11+$D$19+45</f>
        <v>143</v>
      </c>
      <c r="E35">
        <v>35</v>
      </c>
      <c r="F35">
        <v>30</v>
      </c>
      <c r="G35" t="str">
        <f t="shared" si="16"/>
        <v xml:space="preserve">Aerobar Bolts: Top 35mm; Bottom 30mm </v>
      </c>
    </row>
    <row r="36" spans="2:7" x14ac:dyDescent="0.25">
      <c r="B36" t="str">
        <f>TEXT($B$23,0) &amp; " + 40 + bridge + 10"</f>
        <v>Stem: 70x30  ----- Carbon Aerobar + 40 + bridge + 10</v>
      </c>
      <c r="C36">
        <f t="shared" si="15"/>
        <v>39</v>
      </c>
      <c r="D36">
        <f>$D$11+$D$19+50</f>
        <v>148</v>
      </c>
      <c r="E36">
        <v>40</v>
      </c>
      <c r="F36">
        <v>30</v>
      </c>
      <c r="G36" t="str">
        <f t="shared" si="16"/>
        <v xml:space="preserve">Aerobar Bolts: Top 40mm; Bottom 30mm </v>
      </c>
    </row>
    <row r="37" spans="2:7" x14ac:dyDescent="0.25">
      <c r="B37" t="str">
        <f>TEXT($B$23,0) &amp; " + 40 + bridge + 10 + 5"</f>
        <v>Stem: 70x30  ----- Carbon Aerobar + 40 + bridge + 10 + 5</v>
      </c>
      <c r="C37">
        <f t="shared" si="15"/>
        <v>39</v>
      </c>
      <c r="D37">
        <f>$D$11+$D$19+55</f>
        <v>153</v>
      </c>
      <c r="E37">
        <v>45</v>
      </c>
      <c r="F37">
        <v>30</v>
      </c>
      <c r="G37" t="str">
        <f t="shared" si="16"/>
        <v xml:space="preserve">Aerobar Bolts: Top 45mm; Bottom 30mm </v>
      </c>
    </row>
    <row r="38" spans="2:7" x14ac:dyDescent="0.25">
      <c r="B38" t="str">
        <f>"Stem: "&amp;TEXT($B$12,0)&amp;" "&amp;" ----- "&amp;TEXT($B$19,0)</f>
        <v>Stem: 70x60  ----- Carbon Aerobar</v>
      </c>
      <c r="E38" t="s">
        <v>102</v>
      </c>
      <c r="F38" t="s">
        <v>102</v>
      </c>
      <c r="G38" t="str">
        <f t="shared" si="16"/>
        <v xml:space="preserve">Aerobar Bolts: Top N/A; Bottom N/A </v>
      </c>
    </row>
    <row r="39" spans="2:7" x14ac:dyDescent="0.25">
      <c r="B39" t="str">
        <f>TEXT($B$38,0) &amp; " + 5"</f>
        <v>Stem: 70x60  ----- Carbon Aerobar + 5</v>
      </c>
      <c r="C39">
        <f t="shared" ref="C39:C52" si="24">$C$12+$C$19</f>
        <v>29</v>
      </c>
      <c r="D39">
        <f>$D$12+$D$19</f>
        <v>129</v>
      </c>
      <c r="E39">
        <v>45</v>
      </c>
      <c r="F39" t="s">
        <v>102</v>
      </c>
      <c r="G39" t="str">
        <f t="shared" si="16"/>
        <v xml:space="preserve">Aerobar Bolts: Top 45mm; Bottom N/A </v>
      </c>
    </row>
    <row r="40" spans="2:7" x14ac:dyDescent="0.25">
      <c r="B40" t="str">
        <f>TEXT($B$38,0) &amp; " + 10"</f>
        <v>Stem: 70x60  ----- Carbon Aerobar + 10</v>
      </c>
      <c r="C40">
        <f t="shared" si="24"/>
        <v>29</v>
      </c>
      <c r="D40">
        <f>$D$12+$D$19+5</f>
        <v>134</v>
      </c>
      <c r="E40">
        <v>50</v>
      </c>
      <c r="F40" t="s">
        <v>102</v>
      </c>
      <c r="G40" t="str">
        <f t="shared" si="16"/>
        <v xml:space="preserve">Aerobar Bolts: Top 50mm; Bottom N/A </v>
      </c>
    </row>
    <row r="41" spans="2:7" x14ac:dyDescent="0.25">
      <c r="B41" t="str">
        <f>TEXT($B$38,0) &amp; " + 5 + 10"</f>
        <v>Stem: 70x60  ----- Carbon Aerobar + 5 + 10</v>
      </c>
      <c r="C41">
        <f t="shared" si="24"/>
        <v>29</v>
      </c>
      <c r="D41">
        <f>$D$12+$D$19+10</f>
        <v>139</v>
      </c>
      <c r="E41">
        <v>55</v>
      </c>
      <c r="F41" t="s">
        <v>102</v>
      </c>
      <c r="G41" t="str">
        <f t="shared" si="16"/>
        <v xml:space="preserve">Aerobar Bolts: Top 55mm; Bottom N/A </v>
      </c>
    </row>
    <row r="42" spans="2:7" x14ac:dyDescent="0.25">
      <c r="B42" t="str">
        <f>TEXT($B$38,0) &amp; " + 20"</f>
        <v>Stem: 70x60  ----- Carbon Aerobar + 20</v>
      </c>
      <c r="C42">
        <f t="shared" si="24"/>
        <v>29</v>
      </c>
      <c r="D42">
        <f>$D$12+$D$19+15</f>
        <v>144</v>
      </c>
      <c r="E42">
        <v>20</v>
      </c>
      <c r="F42">
        <v>30</v>
      </c>
      <c r="G42" t="str">
        <f t="shared" si="16"/>
        <v xml:space="preserve">Aerobar Bolts: Top 20mm; Bottom 30mm </v>
      </c>
    </row>
    <row r="43" spans="2:7" x14ac:dyDescent="0.25">
      <c r="B43" t="str">
        <f>TEXT($B$38,0) &amp; " + 20 + 5"</f>
        <v>Stem: 70x60  ----- Carbon Aerobar + 20 + 5</v>
      </c>
      <c r="C43">
        <f t="shared" si="24"/>
        <v>29</v>
      </c>
      <c r="D43">
        <f>$D$12+$D$19+20</f>
        <v>149</v>
      </c>
      <c r="E43">
        <v>25</v>
      </c>
      <c r="F43">
        <v>30</v>
      </c>
      <c r="G43" t="str">
        <f t="shared" si="16"/>
        <v xml:space="preserve">Aerobar Bolts: Top 25mm; Bottom 30mm </v>
      </c>
    </row>
    <row r="44" spans="2:7" x14ac:dyDescent="0.25">
      <c r="B44" t="str">
        <f>TEXT($B$38,0) &amp; " + 20 + bridge"</f>
        <v>Stem: 70x60  ----- Carbon Aerobar + 20 + bridge</v>
      </c>
      <c r="C44">
        <f t="shared" si="24"/>
        <v>29</v>
      </c>
      <c r="D44">
        <f>$D$12+$D$19+20</f>
        <v>149</v>
      </c>
      <c r="E44">
        <v>25</v>
      </c>
      <c r="F44">
        <v>30</v>
      </c>
      <c r="G44" t="str">
        <f t="shared" si="16"/>
        <v xml:space="preserve">Aerobar Bolts: Top 25mm; Bottom 30mm </v>
      </c>
    </row>
    <row r="45" spans="2:7" x14ac:dyDescent="0.25">
      <c r="B45" t="str">
        <f>TEXT($B$38,0) &amp; " + 30"</f>
        <v>Stem: 70x60  ----- Carbon Aerobar + 30</v>
      </c>
      <c r="C45">
        <f t="shared" si="24"/>
        <v>29</v>
      </c>
      <c r="D45">
        <f>$D$12+$D$19+25</f>
        <v>154</v>
      </c>
      <c r="E45">
        <v>25</v>
      </c>
      <c r="F45">
        <v>30</v>
      </c>
      <c r="G45" t="str">
        <f t="shared" si="16"/>
        <v xml:space="preserve">Aerobar Bolts: Top 25mm; Bottom 30mm </v>
      </c>
    </row>
    <row r="46" spans="2:7" x14ac:dyDescent="0.25">
      <c r="B46" t="str">
        <f>TEXT($B$38,0) &amp; " + 20 + bridge + 5"</f>
        <v>Stem: 70x60  ----- Carbon Aerobar + 20 + bridge + 5</v>
      </c>
      <c r="C46">
        <f t="shared" si="24"/>
        <v>29</v>
      </c>
      <c r="D46">
        <f>$D$12+$D$19+25</f>
        <v>154</v>
      </c>
      <c r="E46">
        <v>30</v>
      </c>
      <c r="F46">
        <v>30</v>
      </c>
      <c r="G46" t="str">
        <f t="shared" si="16"/>
        <v xml:space="preserve">Aerobar Bolts: Top 30mm; Bottom 30mm </v>
      </c>
    </row>
    <row r="47" spans="2:7" x14ac:dyDescent="0.25">
      <c r="B47" t="str">
        <f>TEXT($B$38,0) &amp; " + 30 + bridge"</f>
        <v>Stem: 70x60  ----- Carbon Aerobar + 30 + bridge</v>
      </c>
      <c r="C47">
        <f t="shared" si="24"/>
        <v>29</v>
      </c>
      <c r="D47">
        <f>$D$12+$D$19+30</f>
        <v>159</v>
      </c>
      <c r="E47">
        <v>30</v>
      </c>
      <c r="F47">
        <v>30</v>
      </c>
      <c r="G47" t="str">
        <f t="shared" si="16"/>
        <v xml:space="preserve">Aerobar Bolts: Top 30mm; Bottom 30mm </v>
      </c>
    </row>
    <row r="48" spans="2:7" x14ac:dyDescent="0.25">
      <c r="B48" t="str">
        <f>TEXT($B$38,0) &amp; " + 30 + bridge + 5"</f>
        <v>Stem: 70x60  ----- Carbon Aerobar + 30 + bridge + 5</v>
      </c>
      <c r="C48">
        <f t="shared" si="24"/>
        <v>29</v>
      </c>
      <c r="D48">
        <f>$D$12+$D$19+35</f>
        <v>164</v>
      </c>
      <c r="E48">
        <v>35</v>
      </c>
      <c r="F48">
        <v>30</v>
      </c>
      <c r="G48" t="str">
        <f t="shared" si="16"/>
        <v xml:space="preserve">Aerobar Bolts: Top 35mm; Bottom 30mm </v>
      </c>
    </row>
    <row r="49" spans="2:7" x14ac:dyDescent="0.25">
      <c r="B49" t="str">
        <f>TEXT($B$38,0) &amp; " + 40 + bridge"</f>
        <v>Stem: 70x60  ----- Carbon Aerobar + 40 + bridge</v>
      </c>
      <c r="C49">
        <f t="shared" si="24"/>
        <v>29</v>
      </c>
      <c r="D49">
        <f>$D$12+$D$19+40</f>
        <v>169</v>
      </c>
      <c r="E49">
        <v>35</v>
      </c>
      <c r="F49">
        <v>30</v>
      </c>
      <c r="G49" t="str">
        <f t="shared" si="16"/>
        <v xml:space="preserve">Aerobar Bolts: Top 35mm; Bottom 30mm </v>
      </c>
    </row>
    <row r="50" spans="2:7" x14ac:dyDescent="0.25">
      <c r="B50" t="str">
        <f>TEXT($B$38,0) &amp; " + 40 + bridge + 5"</f>
        <v>Stem: 70x60  ----- Carbon Aerobar + 40 + bridge + 5</v>
      </c>
      <c r="C50">
        <f t="shared" si="24"/>
        <v>29</v>
      </c>
      <c r="D50">
        <f>$D$12+$D$19+45</f>
        <v>174</v>
      </c>
      <c r="E50">
        <v>35</v>
      </c>
      <c r="F50">
        <v>30</v>
      </c>
      <c r="G50" t="str">
        <f t="shared" si="16"/>
        <v xml:space="preserve">Aerobar Bolts: Top 35mm; Bottom 30mm </v>
      </c>
    </row>
    <row r="51" spans="2:7" x14ac:dyDescent="0.25">
      <c r="B51" t="str">
        <f>TEXT($B$38,0) &amp; " + 40 + bridge + 10"</f>
        <v>Stem: 70x60  ----- Carbon Aerobar + 40 + bridge + 10</v>
      </c>
      <c r="C51">
        <f t="shared" si="24"/>
        <v>29</v>
      </c>
      <c r="D51">
        <f>$D$12+$D$19+50</f>
        <v>179</v>
      </c>
      <c r="E51">
        <v>40</v>
      </c>
      <c r="F51">
        <v>30</v>
      </c>
      <c r="G51" t="str">
        <f t="shared" si="16"/>
        <v xml:space="preserve">Aerobar Bolts: Top 40mm; Bottom 30mm </v>
      </c>
    </row>
    <row r="52" spans="2:7" x14ac:dyDescent="0.25">
      <c r="B52" t="str">
        <f>TEXT($B$38,0) &amp; " + 40 + bridge + 10 + 5"</f>
        <v>Stem: 70x60  ----- Carbon Aerobar + 40 + bridge + 10 + 5</v>
      </c>
      <c r="C52">
        <f t="shared" si="24"/>
        <v>29</v>
      </c>
      <c r="D52">
        <f>$D$12+$D$19+55</f>
        <v>184</v>
      </c>
      <c r="E52">
        <v>45</v>
      </c>
      <c r="F52">
        <v>30</v>
      </c>
      <c r="G52" t="str">
        <f t="shared" si="16"/>
        <v xml:space="preserve">Aerobar Bolts: Top 45mm; Bottom 30mm </v>
      </c>
    </row>
    <row r="53" spans="2:7" x14ac:dyDescent="0.25">
      <c r="B53" t="str">
        <f>"Stem: "&amp;TEXT($B$13,0)&amp;" "&amp;" ----- "&amp;TEXT($B$19,0)</f>
        <v>Stem: 100x30  ----- Carbon Aerobar</v>
      </c>
      <c r="E53" t="s">
        <v>102</v>
      </c>
      <c r="F53" t="s">
        <v>102</v>
      </c>
      <c r="G53" t="str">
        <f t="shared" si="16"/>
        <v xml:space="preserve">Aerobar Bolts: Top N/A; Bottom N/A </v>
      </c>
    </row>
    <row r="54" spans="2:7" x14ac:dyDescent="0.25">
      <c r="B54" t="str">
        <f>TEXT($B$53,0) &amp; " + 5"</f>
        <v>Stem: 100x30  ----- Carbon Aerobar + 5</v>
      </c>
      <c r="C54">
        <f t="shared" ref="C54:C67" si="25">$C$13+$C$19</f>
        <v>69</v>
      </c>
      <c r="D54">
        <f>$D$13+$D$19</f>
        <v>99</v>
      </c>
      <c r="E54">
        <v>45</v>
      </c>
      <c r="F54" t="s">
        <v>102</v>
      </c>
      <c r="G54" t="str">
        <f t="shared" si="16"/>
        <v xml:space="preserve">Aerobar Bolts: Top 45mm; Bottom N/A </v>
      </c>
    </row>
    <row r="55" spans="2:7" x14ac:dyDescent="0.25">
      <c r="B55" t="str">
        <f>TEXT($B$53,0) &amp; " + 10"</f>
        <v>Stem: 100x30  ----- Carbon Aerobar + 10</v>
      </c>
      <c r="C55">
        <f t="shared" si="25"/>
        <v>69</v>
      </c>
      <c r="D55">
        <f>$D$13+$D$19+5</f>
        <v>104</v>
      </c>
      <c r="E55">
        <v>50</v>
      </c>
      <c r="F55" t="s">
        <v>102</v>
      </c>
      <c r="G55" t="str">
        <f t="shared" si="16"/>
        <v xml:space="preserve">Aerobar Bolts: Top 50mm; Bottom N/A </v>
      </c>
    </row>
    <row r="56" spans="2:7" x14ac:dyDescent="0.25">
      <c r="B56" t="str">
        <f>TEXT($B$53,0) &amp; " + 5 + 10"</f>
        <v>Stem: 100x30  ----- Carbon Aerobar + 5 + 10</v>
      </c>
      <c r="C56">
        <f t="shared" si="25"/>
        <v>69</v>
      </c>
      <c r="D56">
        <f>$D$13+$D$19+10</f>
        <v>109</v>
      </c>
      <c r="E56">
        <v>55</v>
      </c>
      <c r="F56" t="s">
        <v>102</v>
      </c>
      <c r="G56" t="str">
        <f t="shared" si="16"/>
        <v xml:space="preserve">Aerobar Bolts: Top 55mm; Bottom N/A </v>
      </c>
    </row>
    <row r="57" spans="2:7" x14ac:dyDescent="0.25">
      <c r="B57" t="str">
        <f>TEXT($B$53,0) &amp; " + 20"</f>
        <v>Stem: 100x30  ----- Carbon Aerobar + 20</v>
      </c>
      <c r="C57">
        <f t="shared" si="25"/>
        <v>69</v>
      </c>
      <c r="D57">
        <f>$D$13+$D$19+15</f>
        <v>114</v>
      </c>
      <c r="E57">
        <v>20</v>
      </c>
      <c r="F57">
        <v>30</v>
      </c>
      <c r="G57" t="str">
        <f t="shared" si="16"/>
        <v xml:space="preserve">Aerobar Bolts: Top 20mm; Bottom 30mm </v>
      </c>
    </row>
    <row r="58" spans="2:7" x14ac:dyDescent="0.25">
      <c r="B58" t="str">
        <f>TEXT($B$53,0) &amp; " + 20 + 5"</f>
        <v>Stem: 100x30  ----- Carbon Aerobar + 20 + 5</v>
      </c>
      <c r="C58">
        <f t="shared" si="25"/>
        <v>69</v>
      </c>
      <c r="D58">
        <f>$D$13+$D$19+20</f>
        <v>119</v>
      </c>
      <c r="E58">
        <v>25</v>
      </c>
      <c r="F58">
        <v>30</v>
      </c>
      <c r="G58" t="str">
        <f t="shared" si="16"/>
        <v xml:space="preserve">Aerobar Bolts: Top 25mm; Bottom 30mm </v>
      </c>
    </row>
    <row r="59" spans="2:7" x14ac:dyDescent="0.25">
      <c r="B59" t="str">
        <f>TEXT($B$53,0) &amp; " + 20 + bridge"</f>
        <v>Stem: 100x30  ----- Carbon Aerobar + 20 + bridge</v>
      </c>
      <c r="C59">
        <f t="shared" si="25"/>
        <v>69</v>
      </c>
      <c r="D59">
        <f>$D$13+$D$19+20</f>
        <v>119</v>
      </c>
      <c r="E59">
        <v>25</v>
      </c>
      <c r="F59">
        <v>30</v>
      </c>
      <c r="G59" t="str">
        <f t="shared" si="16"/>
        <v xml:space="preserve">Aerobar Bolts: Top 25mm; Bottom 30mm </v>
      </c>
    </row>
    <row r="60" spans="2:7" x14ac:dyDescent="0.25">
      <c r="B60" t="str">
        <f>TEXT($B$53,0) &amp; " + 30"</f>
        <v>Stem: 100x30  ----- Carbon Aerobar + 30</v>
      </c>
      <c r="C60">
        <f t="shared" si="25"/>
        <v>69</v>
      </c>
      <c r="D60">
        <f>$D$13+$D$19+25</f>
        <v>124</v>
      </c>
      <c r="E60">
        <v>25</v>
      </c>
      <c r="F60">
        <v>30</v>
      </c>
      <c r="G60" t="str">
        <f t="shared" si="16"/>
        <v xml:space="preserve">Aerobar Bolts: Top 25mm; Bottom 30mm </v>
      </c>
    </row>
    <row r="61" spans="2:7" x14ac:dyDescent="0.25">
      <c r="B61" t="str">
        <f>TEXT($B$53,0) &amp; " + 20 + bridge + 5"</f>
        <v>Stem: 100x30  ----- Carbon Aerobar + 20 + bridge + 5</v>
      </c>
      <c r="C61">
        <f t="shared" si="25"/>
        <v>69</v>
      </c>
      <c r="D61">
        <f>$D$13+$D$19+25</f>
        <v>124</v>
      </c>
      <c r="E61">
        <v>30</v>
      </c>
      <c r="F61">
        <v>30</v>
      </c>
      <c r="G61" t="str">
        <f t="shared" si="16"/>
        <v xml:space="preserve">Aerobar Bolts: Top 30mm; Bottom 30mm </v>
      </c>
    </row>
    <row r="62" spans="2:7" x14ac:dyDescent="0.25">
      <c r="B62" t="str">
        <f>TEXT($B$53,0) &amp; " + 30 + bridge"</f>
        <v>Stem: 100x30  ----- Carbon Aerobar + 30 + bridge</v>
      </c>
      <c r="C62">
        <f t="shared" si="25"/>
        <v>69</v>
      </c>
      <c r="D62">
        <f>$D$13+$D$19+30</f>
        <v>129</v>
      </c>
      <c r="E62">
        <v>30</v>
      </c>
      <c r="F62">
        <v>30</v>
      </c>
      <c r="G62" t="str">
        <f t="shared" si="16"/>
        <v xml:space="preserve">Aerobar Bolts: Top 30mm; Bottom 30mm </v>
      </c>
    </row>
    <row r="63" spans="2:7" x14ac:dyDescent="0.25">
      <c r="B63" t="str">
        <f>TEXT($B$53,0) &amp; " + 30 + bridge + 5"</f>
        <v>Stem: 100x30  ----- Carbon Aerobar + 30 + bridge + 5</v>
      </c>
      <c r="C63">
        <f t="shared" si="25"/>
        <v>69</v>
      </c>
      <c r="D63">
        <f>$D$13+$D$19+35</f>
        <v>134</v>
      </c>
      <c r="E63">
        <v>35</v>
      </c>
      <c r="F63">
        <v>30</v>
      </c>
      <c r="G63" t="str">
        <f t="shared" si="16"/>
        <v xml:space="preserve">Aerobar Bolts: Top 35mm; Bottom 30mm </v>
      </c>
    </row>
    <row r="64" spans="2:7" x14ac:dyDescent="0.25">
      <c r="B64" t="str">
        <f>TEXT($B$53,0) &amp; " + 40 + bridge"</f>
        <v>Stem: 100x30  ----- Carbon Aerobar + 40 + bridge</v>
      </c>
      <c r="C64">
        <f t="shared" si="25"/>
        <v>69</v>
      </c>
      <c r="D64">
        <f>$D$13+$D$19+40</f>
        <v>139</v>
      </c>
      <c r="E64">
        <v>35</v>
      </c>
      <c r="F64">
        <v>30</v>
      </c>
      <c r="G64" t="str">
        <f t="shared" si="16"/>
        <v xml:space="preserve">Aerobar Bolts: Top 35mm; Bottom 30mm </v>
      </c>
    </row>
    <row r="65" spans="2:7" x14ac:dyDescent="0.25">
      <c r="B65" t="str">
        <f>TEXT($B$53,0) &amp; " + 40 + bridge + 5"</f>
        <v>Stem: 100x30  ----- Carbon Aerobar + 40 + bridge + 5</v>
      </c>
      <c r="C65">
        <f t="shared" si="25"/>
        <v>69</v>
      </c>
      <c r="D65">
        <f>$D$13+$D$19+45</f>
        <v>144</v>
      </c>
      <c r="E65">
        <v>35</v>
      </c>
      <c r="F65">
        <v>30</v>
      </c>
      <c r="G65" t="str">
        <f t="shared" si="16"/>
        <v xml:space="preserve">Aerobar Bolts: Top 35mm; Bottom 30mm </v>
      </c>
    </row>
    <row r="66" spans="2:7" x14ac:dyDescent="0.25">
      <c r="B66" t="str">
        <f>TEXT($B$53,0) &amp; " + 40 + bridge + 10"</f>
        <v>Stem: 100x30  ----- Carbon Aerobar + 40 + bridge + 10</v>
      </c>
      <c r="C66">
        <f t="shared" si="25"/>
        <v>69</v>
      </c>
      <c r="D66">
        <f>$D$13+$D$19+50</f>
        <v>149</v>
      </c>
      <c r="E66">
        <v>40</v>
      </c>
      <c r="F66">
        <v>30</v>
      </c>
      <c r="G66" t="str">
        <f t="shared" si="16"/>
        <v xml:space="preserve">Aerobar Bolts: Top 40mm; Bottom 30mm </v>
      </c>
    </row>
    <row r="67" spans="2:7" x14ac:dyDescent="0.25">
      <c r="B67" t="str">
        <f>TEXT($B$53,0) &amp; " + 40 + bridge + 10 + 5"</f>
        <v>Stem: 100x30  ----- Carbon Aerobar + 40 + bridge + 10 + 5</v>
      </c>
      <c r="C67">
        <f t="shared" si="25"/>
        <v>69</v>
      </c>
      <c r="D67">
        <f>$D$13+$D$19+55</f>
        <v>154</v>
      </c>
      <c r="E67">
        <v>45</v>
      </c>
      <c r="F67">
        <v>30</v>
      </c>
      <c r="G67" t="str">
        <f t="shared" si="16"/>
        <v xml:space="preserve">Aerobar Bolts: Top 45mm; Bottom 30mm </v>
      </c>
    </row>
    <row r="68" spans="2:7" x14ac:dyDescent="0.25">
      <c r="B68" t="str">
        <f>"Stem: "&amp;TEXT($B$14,0)&amp;" "&amp;" ----- "&amp;TEXT($B$19,0)</f>
        <v>Stem: 100x60  ----- Carbon Aerobar</v>
      </c>
      <c r="E68" t="s">
        <v>102</v>
      </c>
      <c r="F68" t="s">
        <v>102</v>
      </c>
      <c r="G68" t="str">
        <f t="shared" si="16"/>
        <v xml:space="preserve">Aerobar Bolts: Top N/A; Bottom N/A </v>
      </c>
    </row>
    <row r="69" spans="2:7" x14ac:dyDescent="0.25">
      <c r="B69" t="str">
        <f>TEXT($B$68,0) &amp; " + 5"</f>
        <v>Stem: 100x60  ----- Carbon Aerobar + 5</v>
      </c>
      <c r="C69">
        <f t="shared" ref="C69:C82" si="26">$C$14+$C$19</f>
        <v>60</v>
      </c>
      <c r="D69">
        <f>$D$14+$D$19</f>
        <v>129</v>
      </c>
      <c r="E69">
        <v>45</v>
      </c>
      <c r="F69" t="s">
        <v>102</v>
      </c>
      <c r="G69" t="str">
        <f t="shared" si="16"/>
        <v xml:space="preserve">Aerobar Bolts: Top 45mm; Bottom N/A </v>
      </c>
    </row>
    <row r="70" spans="2:7" x14ac:dyDescent="0.25">
      <c r="B70" t="str">
        <f>TEXT($B$68,0) &amp; " + 10"</f>
        <v>Stem: 100x60  ----- Carbon Aerobar + 10</v>
      </c>
      <c r="C70">
        <f t="shared" si="26"/>
        <v>60</v>
      </c>
      <c r="D70">
        <f>$D$14+$D$19+5</f>
        <v>134</v>
      </c>
      <c r="E70">
        <v>50</v>
      </c>
      <c r="F70" t="s">
        <v>102</v>
      </c>
      <c r="G70" t="str">
        <f t="shared" si="16"/>
        <v xml:space="preserve">Aerobar Bolts: Top 50mm; Bottom N/A </v>
      </c>
    </row>
    <row r="71" spans="2:7" x14ac:dyDescent="0.25">
      <c r="B71" t="str">
        <f>TEXT($B$68,0) &amp; " + 5 + 10"</f>
        <v>Stem: 100x60  ----- Carbon Aerobar + 5 + 10</v>
      </c>
      <c r="C71">
        <f t="shared" si="26"/>
        <v>60</v>
      </c>
      <c r="D71">
        <f>$D$14+$D$19+10</f>
        <v>139</v>
      </c>
      <c r="E71">
        <v>55</v>
      </c>
      <c r="F71" t="s">
        <v>102</v>
      </c>
      <c r="G71" t="str">
        <f t="shared" si="16"/>
        <v xml:space="preserve">Aerobar Bolts: Top 55mm; Bottom N/A </v>
      </c>
    </row>
    <row r="72" spans="2:7" x14ac:dyDescent="0.25">
      <c r="B72" t="str">
        <f>TEXT($B$68,0) &amp; " + 20"</f>
        <v>Stem: 100x60  ----- Carbon Aerobar + 20</v>
      </c>
      <c r="C72">
        <f t="shared" si="26"/>
        <v>60</v>
      </c>
      <c r="D72">
        <f>$D$14+$D$19+15</f>
        <v>144</v>
      </c>
      <c r="E72">
        <v>20</v>
      </c>
      <c r="F72">
        <v>30</v>
      </c>
      <c r="G72" t="str">
        <f t="shared" si="16"/>
        <v xml:space="preserve">Aerobar Bolts: Top 20mm; Bottom 30mm </v>
      </c>
    </row>
    <row r="73" spans="2:7" x14ac:dyDescent="0.25">
      <c r="B73" t="str">
        <f>TEXT($B$68,0) &amp; " + 20 + 5"</f>
        <v>Stem: 100x60  ----- Carbon Aerobar + 20 + 5</v>
      </c>
      <c r="C73">
        <f t="shared" si="26"/>
        <v>60</v>
      </c>
      <c r="D73">
        <f>$D$14+$D$19+20</f>
        <v>149</v>
      </c>
      <c r="E73">
        <v>25</v>
      </c>
      <c r="F73">
        <v>30</v>
      </c>
      <c r="G73" t="str">
        <f t="shared" si="16"/>
        <v xml:space="preserve">Aerobar Bolts: Top 25mm; Bottom 30mm </v>
      </c>
    </row>
    <row r="74" spans="2:7" x14ac:dyDescent="0.25">
      <c r="B74" t="str">
        <f>TEXT($B$68,0) &amp; " + 20 + bridge"</f>
        <v>Stem: 100x60  ----- Carbon Aerobar + 20 + bridge</v>
      </c>
      <c r="C74">
        <f t="shared" si="26"/>
        <v>60</v>
      </c>
      <c r="D74">
        <f>$D$14+$D$19+20</f>
        <v>149</v>
      </c>
      <c r="E74">
        <v>25</v>
      </c>
      <c r="F74">
        <v>30</v>
      </c>
      <c r="G74" t="str">
        <f t="shared" si="16"/>
        <v xml:space="preserve">Aerobar Bolts: Top 25mm; Bottom 30mm </v>
      </c>
    </row>
    <row r="75" spans="2:7" x14ac:dyDescent="0.25">
      <c r="B75" t="str">
        <f>TEXT($B$68,0) &amp; " + 30"</f>
        <v>Stem: 100x60  ----- Carbon Aerobar + 30</v>
      </c>
      <c r="C75">
        <f t="shared" si="26"/>
        <v>60</v>
      </c>
      <c r="D75">
        <f>$D$14+$D$19+25</f>
        <v>154</v>
      </c>
      <c r="E75">
        <v>25</v>
      </c>
      <c r="F75">
        <v>30</v>
      </c>
      <c r="G75" t="str">
        <f t="shared" si="16"/>
        <v xml:space="preserve">Aerobar Bolts: Top 25mm; Bottom 30mm </v>
      </c>
    </row>
    <row r="76" spans="2:7" x14ac:dyDescent="0.25">
      <c r="B76" t="str">
        <f>TEXT($B$68,0) &amp; " + 20 + bridge + 5"</f>
        <v>Stem: 100x60  ----- Carbon Aerobar + 20 + bridge + 5</v>
      </c>
      <c r="C76">
        <f t="shared" si="26"/>
        <v>60</v>
      </c>
      <c r="D76">
        <f>$D$14+$D$19+25</f>
        <v>154</v>
      </c>
      <c r="E76">
        <v>30</v>
      </c>
      <c r="F76">
        <v>30</v>
      </c>
      <c r="G76" t="str">
        <f t="shared" si="16"/>
        <v xml:space="preserve">Aerobar Bolts: Top 30mm; Bottom 30mm </v>
      </c>
    </row>
    <row r="77" spans="2:7" x14ac:dyDescent="0.25">
      <c r="B77" t="str">
        <f>TEXT($B$68,0) &amp; " + 30 + bridge"</f>
        <v>Stem: 100x60  ----- Carbon Aerobar + 30 + bridge</v>
      </c>
      <c r="C77">
        <f t="shared" si="26"/>
        <v>60</v>
      </c>
      <c r="D77">
        <f>$D$14+$D$19+30</f>
        <v>159</v>
      </c>
      <c r="E77">
        <v>30</v>
      </c>
      <c r="F77">
        <v>30</v>
      </c>
      <c r="G77" t="str">
        <f t="shared" si="16"/>
        <v xml:space="preserve">Aerobar Bolts: Top 30mm; Bottom 30mm </v>
      </c>
    </row>
    <row r="78" spans="2:7" x14ac:dyDescent="0.25">
      <c r="B78" t="str">
        <f>TEXT($B$68,0) &amp; " + 30 + bridge + 5"</f>
        <v>Stem: 100x60  ----- Carbon Aerobar + 30 + bridge + 5</v>
      </c>
      <c r="C78">
        <f t="shared" si="26"/>
        <v>60</v>
      </c>
      <c r="D78">
        <f>$D$14+$D$19+35</f>
        <v>164</v>
      </c>
      <c r="E78">
        <v>35</v>
      </c>
      <c r="F78">
        <v>30</v>
      </c>
      <c r="G78" t="str">
        <f t="shared" si="16"/>
        <v xml:space="preserve">Aerobar Bolts: Top 35mm; Bottom 30mm </v>
      </c>
    </row>
    <row r="79" spans="2:7" x14ac:dyDescent="0.25">
      <c r="B79" t="str">
        <f>TEXT($B$68,0) &amp; " + 40 + bridge"</f>
        <v>Stem: 100x60  ----- Carbon Aerobar + 40 + bridge</v>
      </c>
      <c r="C79">
        <f t="shared" si="26"/>
        <v>60</v>
      </c>
      <c r="D79">
        <f>$D$14+$D$19+40</f>
        <v>169</v>
      </c>
      <c r="E79">
        <v>35</v>
      </c>
      <c r="F79">
        <v>30</v>
      </c>
      <c r="G79" t="str">
        <f t="shared" si="16"/>
        <v xml:space="preserve">Aerobar Bolts: Top 35mm; Bottom 30mm </v>
      </c>
    </row>
    <row r="80" spans="2:7" x14ac:dyDescent="0.25">
      <c r="B80" t="str">
        <f>TEXT($B$68,0) &amp; " + 40 + bridge + 5"</f>
        <v>Stem: 100x60  ----- Carbon Aerobar + 40 + bridge + 5</v>
      </c>
      <c r="C80">
        <f t="shared" si="26"/>
        <v>60</v>
      </c>
      <c r="D80">
        <f>$D$14+$D$19+45</f>
        <v>174</v>
      </c>
      <c r="E80">
        <v>35</v>
      </c>
      <c r="F80">
        <v>30</v>
      </c>
      <c r="G80" t="str">
        <f t="shared" si="16"/>
        <v xml:space="preserve">Aerobar Bolts: Top 35mm; Bottom 30mm </v>
      </c>
    </row>
    <row r="81" spans="2:7" x14ac:dyDescent="0.25">
      <c r="B81" t="str">
        <f>TEXT($B$68,0) &amp; " + 40 + bridge + 10"</f>
        <v>Stem: 100x60  ----- Carbon Aerobar + 40 + bridge + 10</v>
      </c>
      <c r="C81">
        <f t="shared" si="26"/>
        <v>60</v>
      </c>
      <c r="D81">
        <f>$D$14+$D$19+50</f>
        <v>179</v>
      </c>
      <c r="E81">
        <v>40</v>
      </c>
      <c r="F81">
        <v>30</v>
      </c>
      <c r="G81" t="str">
        <f t="shared" si="16"/>
        <v xml:space="preserve">Aerobar Bolts: Top 40mm; Bottom 30mm </v>
      </c>
    </row>
    <row r="82" spans="2:7" x14ac:dyDescent="0.25">
      <c r="B82" t="str">
        <f>TEXT($B$68,0) &amp; " + 40 + bridge + 10 + 5"</f>
        <v>Stem: 100x60  ----- Carbon Aerobar + 40 + bridge + 10 + 5</v>
      </c>
      <c r="C82">
        <f t="shared" si="26"/>
        <v>60</v>
      </c>
      <c r="D82">
        <f>$D$14+$D$19+55</f>
        <v>184</v>
      </c>
      <c r="E82">
        <v>45</v>
      </c>
      <c r="F82">
        <v>30</v>
      </c>
      <c r="G82" t="str">
        <f t="shared" si="16"/>
        <v xml:space="preserve">Aerobar Bolts: Top 45mm; Bottom 30mm </v>
      </c>
    </row>
    <row r="83" spans="2:7" x14ac:dyDescent="0.25">
      <c r="B83" t="str">
        <f>"Stem: "&amp;TEXT($B$15,0)&amp;" "&amp;" ----- "&amp;TEXT($B$19,0)</f>
        <v>Stem: 90x0  ----- Carbon Aerobar</v>
      </c>
      <c r="E83" t="s">
        <v>102</v>
      </c>
      <c r="F83" t="s">
        <v>102</v>
      </c>
      <c r="G83" t="str">
        <f t="shared" si="16"/>
        <v xml:space="preserve">Aerobar Bolts: Top N/A; Bottom N/A </v>
      </c>
    </row>
    <row r="84" spans="2:7" x14ac:dyDescent="0.25">
      <c r="B84" t="str">
        <f>TEXT($B$83,0) &amp; " + 5"</f>
        <v>Stem: 90x0  ----- Carbon Aerobar + 5</v>
      </c>
      <c r="C84">
        <f>$C$15+$C$19</f>
        <v>64</v>
      </c>
      <c r="D84">
        <f>$D$15+$D$19</f>
        <v>67</v>
      </c>
      <c r="E84">
        <v>45</v>
      </c>
      <c r="F84" t="s">
        <v>102</v>
      </c>
      <c r="G84" t="str">
        <f t="shared" si="16"/>
        <v xml:space="preserve">Aerobar Bolts: Top 45mm; Bottom N/A </v>
      </c>
    </row>
    <row r="85" spans="2:7" x14ac:dyDescent="0.25">
      <c r="B85" t="str">
        <f>TEXT($B$83,0) &amp; " + 10"</f>
        <v>Stem: 90x0  ----- Carbon Aerobar + 10</v>
      </c>
      <c r="C85">
        <f t="shared" ref="C85:C97" si="27">$C$15+$C$19</f>
        <v>64</v>
      </c>
      <c r="D85">
        <f>$D$15+$D$19+5</f>
        <v>72</v>
      </c>
      <c r="E85">
        <v>50</v>
      </c>
      <c r="F85" t="s">
        <v>102</v>
      </c>
      <c r="G85" t="str">
        <f t="shared" si="16"/>
        <v xml:space="preserve">Aerobar Bolts: Top 50mm; Bottom N/A </v>
      </c>
    </row>
    <row r="86" spans="2:7" x14ac:dyDescent="0.25">
      <c r="B86" t="str">
        <f>TEXT($B$83,0) &amp; " + 5 + 10"</f>
        <v>Stem: 90x0  ----- Carbon Aerobar + 5 + 10</v>
      </c>
      <c r="C86">
        <f t="shared" si="27"/>
        <v>64</v>
      </c>
      <c r="D86">
        <f>$D$15+$D$19+10</f>
        <v>77</v>
      </c>
      <c r="E86">
        <v>55</v>
      </c>
      <c r="F86" t="s">
        <v>102</v>
      </c>
      <c r="G86" t="str">
        <f t="shared" si="16"/>
        <v xml:space="preserve">Aerobar Bolts: Top 55mm; Bottom N/A </v>
      </c>
    </row>
    <row r="87" spans="2:7" x14ac:dyDescent="0.25">
      <c r="B87" t="str">
        <f>TEXT($B$83,0) &amp; " + 20"</f>
        <v>Stem: 90x0  ----- Carbon Aerobar + 20</v>
      </c>
      <c r="C87">
        <f t="shared" si="27"/>
        <v>64</v>
      </c>
      <c r="D87">
        <f>$D$15+$D$19+15</f>
        <v>82</v>
      </c>
      <c r="E87">
        <v>20</v>
      </c>
      <c r="F87">
        <v>30</v>
      </c>
      <c r="G87" t="str">
        <f t="shared" si="16"/>
        <v xml:space="preserve">Aerobar Bolts: Top 20mm; Bottom 30mm </v>
      </c>
    </row>
    <row r="88" spans="2:7" x14ac:dyDescent="0.25">
      <c r="B88" t="str">
        <f>TEXT($B$83,0) &amp; " + 20 + 5"</f>
        <v>Stem: 90x0  ----- Carbon Aerobar + 20 + 5</v>
      </c>
      <c r="C88">
        <f t="shared" si="27"/>
        <v>64</v>
      </c>
      <c r="D88">
        <f>$D$15+$D$19+20</f>
        <v>87</v>
      </c>
      <c r="E88">
        <v>25</v>
      </c>
      <c r="F88">
        <v>30</v>
      </c>
      <c r="G88" t="str">
        <f t="shared" ref="G88:G151" si="28">IF(AND(E88="N/A",F88="N/A"),TEXT($E$21,0)&amp;" "&amp;TEXT($E$22,0)&amp;" "&amp;E88&amp;"; "&amp;TEXT($F$22,0)&amp;" "&amp;F88&amp;" ",IF(F88="N/A",TEXT($E$21,0)&amp;" "&amp;TEXT($E$22,0)&amp;" "&amp;E88&amp;"mm; "&amp;TEXT($F$22,0)&amp;" "&amp;F88&amp;" ",TEXT($E$21,0)&amp;" "&amp;TEXT($E$22,0)&amp;" "&amp;E88&amp;"mm; "&amp;TEXT($F$22,0)&amp;" "&amp;F88&amp;"mm "))</f>
        <v xml:space="preserve">Aerobar Bolts: Top 25mm; Bottom 30mm </v>
      </c>
    </row>
    <row r="89" spans="2:7" x14ac:dyDescent="0.25">
      <c r="B89" t="str">
        <f>TEXT($B$83,0) &amp; " + 20 + bridge"</f>
        <v>Stem: 90x0  ----- Carbon Aerobar + 20 + bridge</v>
      </c>
      <c r="C89">
        <f t="shared" si="27"/>
        <v>64</v>
      </c>
      <c r="D89">
        <f>$D$15+$D$19+20</f>
        <v>87</v>
      </c>
      <c r="E89">
        <v>25</v>
      </c>
      <c r="F89">
        <v>30</v>
      </c>
      <c r="G89" t="str">
        <f t="shared" si="28"/>
        <v xml:space="preserve">Aerobar Bolts: Top 25mm; Bottom 30mm </v>
      </c>
    </row>
    <row r="90" spans="2:7" x14ac:dyDescent="0.25">
      <c r="B90" t="str">
        <f>TEXT($B$83,0) &amp; " + 30"</f>
        <v>Stem: 90x0  ----- Carbon Aerobar + 30</v>
      </c>
      <c r="C90">
        <f t="shared" si="27"/>
        <v>64</v>
      </c>
      <c r="D90">
        <f>$D$15+$D$19+25</f>
        <v>92</v>
      </c>
      <c r="E90">
        <v>25</v>
      </c>
      <c r="F90">
        <v>30</v>
      </c>
      <c r="G90" t="str">
        <f t="shared" si="28"/>
        <v xml:space="preserve">Aerobar Bolts: Top 25mm; Bottom 30mm </v>
      </c>
    </row>
    <row r="91" spans="2:7" x14ac:dyDescent="0.25">
      <c r="B91" t="str">
        <f>TEXT($B$83,0) &amp; " + 20 + bridge + 5"</f>
        <v>Stem: 90x0  ----- Carbon Aerobar + 20 + bridge + 5</v>
      </c>
      <c r="C91">
        <f t="shared" si="27"/>
        <v>64</v>
      </c>
      <c r="D91">
        <f>$D$15+$D$19+25</f>
        <v>92</v>
      </c>
      <c r="E91">
        <v>30</v>
      </c>
      <c r="F91">
        <v>30</v>
      </c>
      <c r="G91" t="str">
        <f t="shared" si="28"/>
        <v xml:space="preserve">Aerobar Bolts: Top 30mm; Bottom 30mm </v>
      </c>
    </row>
    <row r="92" spans="2:7" x14ac:dyDescent="0.25">
      <c r="B92" t="str">
        <f>TEXT($B$83,0) &amp; " + 30 + bridge"</f>
        <v>Stem: 90x0  ----- Carbon Aerobar + 30 + bridge</v>
      </c>
      <c r="C92">
        <f t="shared" si="27"/>
        <v>64</v>
      </c>
      <c r="D92">
        <f>$D$15+$D$19+30</f>
        <v>97</v>
      </c>
      <c r="E92">
        <v>30</v>
      </c>
      <c r="F92">
        <v>30</v>
      </c>
      <c r="G92" t="str">
        <f t="shared" si="28"/>
        <v xml:space="preserve">Aerobar Bolts: Top 30mm; Bottom 30mm </v>
      </c>
    </row>
    <row r="93" spans="2:7" x14ac:dyDescent="0.25">
      <c r="B93" t="str">
        <f>TEXT($B$83,0) &amp; " + 30 + bridge + 5"</f>
        <v>Stem: 90x0  ----- Carbon Aerobar + 30 + bridge + 5</v>
      </c>
      <c r="C93">
        <f t="shared" si="27"/>
        <v>64</v>
      </c>
      <c r="D93">
        <f>$D$15+$D$19+35</f>
        <v>102</v>
      </c>
      <c r="E93">
        <v>35</v>
      </c>
      <c r="F93">
        <v>30</v>
      </c>
      <c r="G93" t="str">
        <f t="shared" si="28"/>
        <v xml:space="preserve">Aerobar Bolts: Top 35mm; Bottom 30mm </v>
      </c>
    </row>
    <row r="94" spans="2:7" x14ac:dyDescent="0.25">
      <c r="B94" t="str">
        <f>TEXT($B$83,0) &amp; " + 40 + bridge"</f>
        <v>Stem: 90x0  ----- Carbon Aerobar + 40 + bridge</v>
      </c>
      <c r="C94">
        <f t="shared" si="27"/>
        <v>64</v>
      </c>
      <c r="D94">
        <f>$D$15+$D$19+40</f>
        <v>107</v>
      </c>
      <c r="E94">
        <v>35</v>
      </c>
      <c r="F94">
        <v>30</v>
      </c>
      <c r="G94" t="str">
        <f t="shared" si="28"/>
        <v xml:space="preserve">Aerobar Bolts: Top 35mm; Bottom 30mm </v>
      </c>
    </row>
    <row r="95" spans="2:7" x14ac:dyDescent="0.25">
      <c r="B95" t="str">
        <f>TEXT($B$83,0) &amp; " + 40 + bridge + 5"</f>
        <v>Stem: 90x0  ----- Carbon Aerobar + 40 + bridge + 5</v>
      </c>
      <c r="C95">
        <f t="shared" si="27"/>
        <v>64</v>
      </c>
      <c r="D95">
        <f>$D$15+$D$19+45</f>
        <v>112</v>
      </c>
      <c r="E95">
        <v>35</v>
      </c>
      <c r="F95">
        <v>30</v>
      </c>
      <c r="G95" t="str">
        <f t="shared" si="28"/>
        <v xml:space="preserve">Aerobar Bolts: Top 35mm; Bottom 30mm </v>
      </c>
    </row>
    <row r="96" spans="2:7" x14ac:dyDescent="0.25">
      <c r="B96" t="str">
        <f>TEXT($B$83,0) &amp; " + 40 + bridge + 10"</f>
        <v>Stem: 90x0  ----- Carbon Aerobar + 40 + bridge + 10</v>
      </c>
      <c r="C96">
        <f t="shared" si="27"/>
        <v>64</v>
      </c>
      <c r="D96">
        <f>$D$15+$D$19+50</f>
        <v>117</v>
      </c>
      <c r="E96">
        <v>40</v>
      </c>
      <c r="F96">
        <v>30</v>
      </c>
      <c r="G96" t="str">
        <f t="shared" si="28"/>
        <v xml:space="preserve">Aerobar Bolts: Top 40mm; Bottom 30mm </v>
      </c>
    </row>
    <row r="97" spans="2:7" x14ac:dyDescent="0.25">
      <c r="B97" t="str">
        <f>TEXT($B$83,0) &amp; " + 40 + bridge + 10 + 5"</f>
        <v>Stem: 90x0  ----- Carbon Aerobar + 40 + bridge + 10 + 5</v>
      </c>
      <c r="C97">
        <f t="shared" si="27"/>
        <v>64</v>
      </c>
      <c r="D97">
        <f>$D$15+$D$19+55</f>
        <v>122</v>
      </c>
      <c r="E97">
        <v>45</v>
      </c>
      <c r="F97">
        <v>30</v>
      </c>
      <c r="G97" t="str">
        <f t="shared" si="28"/>
        <v xml:space="preserve">Aerobar Bolts: Top 45mm; Bottom 30mm </v>
      </c>
    </row>
    <row r="98" spans="2:7" x14ac:dyDescent="0.25">
      <c r="B98" t="str">
        <f>"Stem: "&amp;TEXT($B$16,0)&amp;" "&amp;" ----- "&amp;TEXT($B$19,0)</f>
        <v>Stem: 110x0  ----- Carbon Aerobar</v>
      </c>
      <c r="E98" t="s">
        <v>102</v>
      </c>
      <c r="F98" t="s">
        <v>102</v>
      </c>
      <c r="G98" t="str">
        <f t="shared" si="28"/>
        <v xml:space="preserve">Aerobar Bolts: Top N/A; Bottom N/A </v>
      </c>
    </row>
    <row r="99" spans="2:7" x14ac:dyDescent="0.25">
      <c r="B99" t="str">
        <f>TEXT($B$98,0) &amp; " + 5"</f>
        <v>Stem: 110x0  ----- Carbon Aerobar + 5</v>
      </c>
      <c r="C99">
        <f t="shared" ref="C99:C112" si="29">$C$16+$C$19</f>
        <v>84</v>
      </c>
      <c r="D99">
        <f>$D$16+$D$19</f>
        <v>67</v>
      </c>
      <c r="E99">
        <v>45</v>
      </c>
      <c r="F99" t="s">
        <v>102</v>
      </c>
      <c r="G99" t="str">
        <f t="shared" si="28"/>
        <v xml:space="preserve">Aerobar Bolts: Top 45mm; Bottom N/A </v>
      </c>
    </row>
    <row r="100" spans="2:7" x14ac:dyDescent="0.25">
      <c r="B100" t="str">
        <f>TEXT($B$98,0) &amp; " + 10"</f>
        <v>Stem: 110x0  ----- Carbon Aerobar + 10</v>
      </c>
      <c r="C100">
        <f t="shared" si="29"/>
        <v>84</v>
      </c>
      <c r="D100">
        <f>$D$16+$D$19+5</f>
        <v>72</v>
      </c>
      <c r="E100">
        <v>50</v>
      </c>
      <c r="F100" t="s">
        <v>102</v>
      </c>
      <c r="G100" t="str">
        <f t="shared" si="28"/>
        <v xml:space="preserve">Aerobar Bolts: Top 50mm; Bottom N/A </v>
      </c>
    </row>
    <row r="101" spans="2:7" x14ac:dyDescent="0.25">
      <c r="B101" t="str">
        <f>TEXT($B$98,0) &amp; " + 5 + 10"</f>
        <v>Stem: 110x0  ----- Carbon Aerobar + 5 + 10</v>
      </c>
      <c r="C101">
        <f t="shared" si="29"/>
        <v>84</v>
      </c>
      <c r="D101">
        <f>$D$16+$D$19+10</f>
        <v>77</v>
      </c>
      <c r="E101">
        <v>55</v>
      </c>
      <c r="F101" t="s">
        <v>102</v>
      </c>
      <c r="G101" t="str">
        <f t="shared" si="28"/>
        <v xml:space="preserve">Aerobar Bolts: Top 55mm; Bottom N/A </v>
      </c>
    </row>
    <row r="102" spans="2:7" x14ac:dyDescent="0.25">
      <c r="B102" t="str">
        <f>TEXT($B$98,0) &amp; " + 20"</f>
        <v>Stem: 110x0  ----- Carbon Aerobar + 20</v>
      </c>
      <c r="C102">
        <f t="shared" si="29"/>
        <v>84</v>
      </c>
      <c r="D102">
        <f>$D$16+$D$19+16</f>
        <v>83</v>
      </c>
      <c r="E102">
        <v>20</v>
      </c>
      <c r="F102">
        <v>30</v>
      </c>
      <c r="G102" t="str">
        <f t="shared" si="28"/>
        <v xml:space="preserve">Aerobar Bolts: Top 20mm; Bottom 30mm </v>
      </c>
    </row>
    <row r="103" spans="2:7" x14ac:dyDescent="0.25">
      <c r="B103" t="str">
        <f>TEXT($B$98,0) &amp; " + 20 + 5"</f>
        <v>Stem: 110x0  ----- Carbon Aerobar + 20 + 5</v>
      </c>
      <c r="C103">
        <f t="shared" si="29"/>
        <v>84</v>
      </c>
      <c r="D103">
        <f>$D$16+$D$19+20</f>
        <v>87</v>
      </c>
      <c r="E103">
        <v>25</v>
      </c>
      <c r="F103">
        <v>30</v>
      </c>
      <c r="G103" t="str">
        <f t="shared" si="28"/>
        <v xml:space="preserve">Aerobar Bolts: Top 25mm; Bottom 30mm </v>
      </c>
    </row>
    <row r="104" spans="2:7" x14ac:dyDescent="0.25">
      <c r="B104" t="str">
        <f>TEXT($B$98,0) &amp; " + 20 + bridge"</f>
        <v>Stem: 110x0  ----- Carbon Aerobar + 20 + bridge</v>
      </c>
      <c r="C104">
        <f t="shared" si="29"/>
        <v>84</v>
      </c>
      <c r="D104">
        <f>$D$16+$D$19+20</f>
        <v>87</v>
      </c>
      <c r="E104">
        <v>25</v>
      </c>
      <c r="F104">
        <v>30</v>
      </c>
      <c r="G104" t="str">
        <f t="shared" si="28"/>
        <v xml:space="preserve">Aerobar Bolts: Top 25mm; Bottom 30mm </v>
      </c>
    </row>
    <row r="105" spans="2:7" x14ac:dyDescent="0.25">
      <c r="B105" t="str">
        <f>TEXT($B$98,0) &amp; " + 30"</f>
        <v>Stem: 110x0  ----- Carbon Aerobar + 30</v>
      </c>
      <c r="C105">
        <f t="shared" si="29"/>
        <v>84</v>
      </c>
      <c r="D105">
        <f>$D$16+$D$19+25</f>
        <v>92</v>
      </c>
      <c r="E105">
        <v>25</v>
      </c>
      <c r="F105">
        <v>30</v>
      </c>
      <c r="G105" t="str">
        <f t="shared" si="28"/>
        <v xml:space="preserve">Aerobar Bolts: Top 25mm; Bottom 30mm </v>
      </c>
    </row>
    <row r="106" spans="2:7" x14ac:dyDescent="0.25">
      <c r="B106" t="str">
        <f>TEXT($B$98,0) &amp; " + 20 + bridge + 5"</f>
        <v>Stem: 110x0  ----- Carbon Aerobar + 20 + bridge + 5</v>
      </c>
      <c r="C106">
        <f t="shared" si="29"/>
        <v>84</v>
      </c>
      <c r="D106">
        <f>$D$16+$D$19+25</f>
        <v>92</v>
      </c>
      <c r="E106">
        <v>30</v>
      </c>
      <c r="F106">
        <v>30</v>
      </c>
      <c r="G106" t="str">
        <f t="shared" si="28"/>
        <v xml:space="preserve">Aerobar Bolts: Top 30mm; Bottom 30mm </v>
      </c>
    </row>
    <row r="107" spans="2:7" x14ac:dyDescent="0.25">
      <c r="B107" t="str">
        <f>TEXT($B$98,0) &amp; " + 30 + bridge"</f>
        <v>Stem: 110x0  ----- Carbon Aerobar + 30 + bridge</v>
      </c>
      <c r="C107">
        <f t="shared" si="29"/>
        <v>84</v>
      </c>
      <c r="D107">
        <f>$D$16+$D$19+30</f>
        <v>97</v>
      </c>
      <c r="E107">
        <v>30</v>
      </c>
      <c r="F107">
        <v>30</v>
      </c>
      <c r="G107" t="str">
        <f t="shared" si="28"/>
        <v xml:space="preserve">Aerobar Bolts: Top 30mm; Bottom 30mm </v>
      </c>
    </row>
    <row r="108" spans="2:7" x14ac:dyDescent="0.25">
      <c r="B108" t="str">
        <f>TEXT($B$98,0) &amp; " + 30 + bridge + 5"</f>
        <v>Stem: 110x0  ----- Carbon Aerobar + 30 + bridge + 5</v>
      </c>
      <c r="C108">
        <f t="shared" si="29"/>
        <v>84</v>
      </c>
      <c r="D108">
        <f>$D$16+$D$19+35</f>
        <v>102</v>
      </c>
      <c r="E108">
        <v>35</v>
      </c>
      <c r="F108">
        <v>30</v>
      </c>
      <c r="G108" t="str">
        <f t="shared" si="28"/>
        <v xml:space="preserve">Aerobar Bolts: Top 35mm; Bottom 30mm </v>
      </c>
    </row>
    <row r="109" spans="2:7" x14ac:dyDescent="0.25">
      <c r="B109" t="str">
        <f>TEXT($B$98,0) &amp; " + 40 + bridge"</f>
        <v>Stem: 110x0  ----- Carbon Aerobar + 40 + bridge</v>
      </c>
      <c r="C109">
        <f t="shared" si="29"/>
        <v>84</v>
      </c>
      <c r="D109">
        <f>$D$16+$D$19+40</f>
        <v>107</v>
      </c>
      <c r="E109">
        <v>35</v>
      </c>
      <c r="F109">
        <v>30</v>
      </c>
      <c r="G109" t="str">
        <f t="shared" si="28"/>
        <v xml:space="preserve">Aerobar Bolts: Top 35mm; Bottom 30mm </v>
      </c>
    </row>
    <row r="110" spans="2:7" x14ac:dyDescent="0.25">
      <c r="B110" t="str">
        <f>TEXT($B$98,0) &amp; " + 40 + bridge + 5"</f>
        <v>Stem: 110x0  ----- Carbon Aerobar + 40 + bridge + 5</v>
      </c>
      <c r="C110">
        <f t="shared" si="29"/>
        <v>84</v>
      </c>
      <c r="D110">
        <f>$D$16+$D$19+45</f>
        <v>112</v>
      </c>
      <c r="E110">
        <v>35</v>
      </c>
      <c r="F110">
        <v>30</v>
      </c>
      <c r="G110" t="str">
        <f t="shared" si="28"/>
        <v xml:space="preserve">Aerobar Bolts: Top 35mm; Bottom 30mm </v>
      </c>
    </row>
    <row r="111" spans="2:7" x14ac:dyDescent="0.25">
      <c r="B111" t="str">
        <f>TEXT($B$98,0) &amp; " + 40 + bridge + 10"</f>
        <v>Stem: 110x0  ----- Carbon Aerobar + 40 + bridge + 10</v>
      </c>
      <c r="C111">
        <f t="shared" si="29"/>
        <v>84</v>
      </c>
      <c r="D111">
        <f>$D$16+$D$19+50</f>
        <v>117</v>
      </c>
      <c r="E111">
        <v>40</v>
      </c>
      <c r="F111">
        <v>30</v>
      </c>
      <c r="G111" t="str">
        <f t="shared" si="28"/>
        <v xml:space="preserve">Aerobar Bolts: Top 40mm; Bottom 30mm </v>
      </c>
    </row>
    <row r="112" spans="2:7" x14ac:dyDescent="0.25">
      <c r="B112" t="str">
        <f>TEXT($B$98,0) &amp; " + 40 + bridge + 10 + 5"</f>
        <v>Stem: 110x0  ----- Carbon Aerobar + 40 + bridge + 10 + 5</v>
      </c>
      <c r="C112">
        <f t="shared" si="29"/>
        <v>84</v>
      </c>
      <c r="D112">
        <f>$D$16+$D$19+55</f>
        <v>122</v>
      </c>
      <c r="E112">
        <v>45</v>
      </c>
      <c r="F112">
        <v>30</v>
      </c>
      <c r="G112" t="str">
        <f t="shared" si="28"/>
        <v xml:space="preserve">Aerobar Bolts: Top 45mm; Bottom 30mm </v>
      </c>
    </row>
    <row r="113" spans="2:7" x14ac:dyDescent="0.25">
      <c r="B113" t="str">
        <f>"Stem: "&amp;TEXT($B$11,0)&amp;" "&amp;" ----- "&amp;TEXT($B$20,0)</f>
        <v>Stem: 70x30  ----- Aluminium Aerobar</v>
      </c>
      <c r="C113">
        <v>37</v>
      </c>
      <c r="D113">
        <f>$D$11+$D$20</f>
        <v>108</v>
      </c>
      <c r="E113">
        <v>20</v>
      </c>
      <c r="F113" t="str">
        <f>F68</f>
        <v>N/A</v>
      </c>
      <c r="G113" t="str">
        <f t="shared" si="28"/>
        <v xml:space="preserve">Aerobar Bolts: Top 20mm; Bottom N/A </v>
      </c>
    </row>
    <row r="114" spans="2:7" x14ac:dyDescent="0.25">
      <c r="B114" t="str">
        <f>TEXT($B$113,0) &amp; " + 5"</f>
        <v>Stem: 70x30  ----- Aluminium Aerobar + 5</v>
      </c>
      <c r="C114">
        <f t="shared" ref="C114:C127" si="30">$C$11+$C$20</f>
        <v>37</v>
      </c>
      <c r="D114">
        <f>$D$11+$D$20+5</f>
        <v>113</v>
      </c>
      <c r="E114">
        <v>25</v>
      </c>
      <c r="F114" t="s">
        <v>102</v>
      </c>
      <c r="G114" t="str">
        <f t="shared" si="28"/>
        <v xml:space="preserve">Aerobar Bolts: Top 25mm; Bottom N/A </v>
      </c>
    </row>
    <row r="115" spans="2:7" x14ac:dyDescent="0.25">
      <c r="B115" t="str">
        <f>TEXT($B$113,0) &amp; " + 10"</f>
        <v>Stem: 70x30  ----- Aluminium Aerobar + 10</v>
      </c>
      <c r="C115">
        <f t="shared" si="30"/>
        <v>37</v>
      </c>
      <c r="D115">
        <f>$D$11+$D$20+10</f>
        <v>118</v>
      </c>
      <c r="E115">
        <v>30</v>
      </c>
      <c r="F115" t="s">
        <v>102</v>
      </c>
      <c r="G115" t="str">
        <f t="shared" si="28"/>
        <v xml:space="preserve">Aerobar Bolts: Top 30mm; Bottom N/A </v>
      </c>
    </row>
    <row r="116" spans="2:7" x14ac:dyDescent="0.25">
      <c r="B116" t="str">
        <f>TEXT($B$113,0) &amp; " + 5 + 10"</f>
        <v>Stem: 70x30  ----- Aluminium Aerobar + 5 + 10</v>
      </c>
      <c r="C116">
        <f t="shared" si="30"/>
        <v>37</v>
      </c>
      <c r="D116">
        <f>$D$11+$D$20+15</f>
        <v>123</v>
      </c>
      <c r="E116">
        <v>35</v>
      </c>
      <c r="F116" t="s">
        <v>102</v>
      </c>
      <c r="G116" t="str">
        <f t="shared" si="28"/>
        <v xml:space="preserve">Aerobar Bolts: Top 35mm; Bottom N/A </v>
      </c>
    </row>
    <row r="117" spans="2:7" x14ac:dyDescent="0.25">
      <c r="B117" t="str">
        <f>TEXT($B$113,0) &amp; " + 20"</f>
        <v>Stem: 70x30  ----- Aluminium Aerobar + 20</v>
      </c>
      <c r="C117">
        <f t="shared" si="30"/>
        <v>37</v>
      </c>
      <c r="D117">
        <f>$D$11+$D$20+20</f>
        <v>128</v>
      </c>
      <c r="E117">
        <v>20</v>
      </c>
      <c r="F117">
        <v>15</v>
      </c>
      <c r="G117" t="str">
        <f t="shared" si="28"/>
        <v xml:space="preserve">Aerobar Bolts: Top 20mm; Bottom 15mm </v>
      </c>
    </row>
    <row r="118" spans="2:7" x14ac:dyDescent="0.25">
      <c r="B118" t="str">
        <f>TEXT($B$113,0) &amp; " + 20 + 5"</f>
        <v>Stem: 70x30  ----- Aluminium Aerobar + 20 + 5</v>
      </c>
      <c r="C118">
        <f t="shared" si="30"/>
        <v>37</v>
      </c>
      <c r="D118">
        <f>$D$11+$D$20+25</f>
        <v>133</v>
      </c>
      <c r="E118">
        <v>25</v>
      </c>
      <c r="F118">
        <v>15</v>
      </c>
      <c r="G118" t="str">
        <f t="shared" si="28"/>
        <v xml:space="preserve">Aerobar Bolts: Top 25mm; Bottom 15mm </v>
      </c>
    </row>
    <row r="119" spans="2:7" x14ac:dyDescent="0.25">
      <c r="B119" t="str">
        <f>TEXT($B$113,0) &amp; " + 20 + bridge"</f>
        <v>Stem: 70x30  ----- Aluminium Aerobar + 20 + bridge</v>
      </c>
      <c r="C119">
        <f t="shared" si="30"/>
        <v>37</v>
      </c>
      <c r="D119">
        <f>$D$11+$D$20+25</f>
        <v>133</v>
      </c>
      <c r="E119">
        <v>25</v>
      </c>
      <c r="F119">
        <v>15</v>
      </c>
      <c r="G119" t="str">
        <f t="shared" si="28"/>
        <v xml:space="preserve">Aerobar Bolts: Top 25mm; Bottom 15mm </v>
      </c>
    </row>
    <row r="120" spans="2:7" x14ac:dyDescent="0.25">
      <c r="B120" t="str">
        <f>TEXT($B$113,0) &amp; " + 30"</f>
        <v>Stem: 70x30  ----- Aluminium Aerobar + 30</v>
      </c>
      <c r="C120">
        <f t="shared" si="30"/>
        <v>37</v>
      </c>
      <c r="D120">
        <f>$D$11+$D$20+30</f>
        <v>138</v>
      </c>
      <c r="E120">
        <v>25</v>
      </c>
      <c r="F120">
        <v>15</v>
      </c>
      <c r="G120" t="str">
        <f t="shared" si="28"/>
        <v xml:space="preserve">Aerobar Bolts: Top 25mm; Bottom 15mm </v>
      </c>
    </row>
    <row r="121" spans="2:7" x14ac:dyDescent="0.25">
      <c r="B121" t="str">
        <f>TEXT($B$113,0) &amp; " + 20 + bridge + 5"</f>
        <v>Stem: 70x30  ----- Aluminium Aerobar + 20 + bridge + 5</v>
      </c>
      <c r="C121">
        <f t="shared" si="30"/>
        <v>37</v>
      </c>
      <c r="D121">
        <f>$D$11+$D$20+30</f>
        <v>138</v>
      </c>
      <c r="E121">
        <v>25</v>
      </c>
      <c r="F121">
        <v>15</v>
      </c>
      <c r="G121" t="str">
        <f t="shared" si="28"/>
        <v xml:space="preserve">Aerobar Bolts: Top 25mm; Bottom 15mm </v>
      </c>
    </row>
    <row r="122" spans="2:7" x14ac:dyDescent="0.25">
      <c r="B122" t="str">
        <f>TEXT($B$113,0) &amp; " + 30 + bridge"</f>
        <v>Stem: 70x30  ----- Aluminium Aerobar + 30 + bridge</v>
      </c>
      <c r="C122">
        <f t="shared" si="30"/>
        <v>37</v>
      </c>
      <c r="D122">
        <f>$D$11+$D$20+35</f>
        <v>143</v>
      </c>
      <c r="E122">
        <v>30</v>
      </c>
      <c r="F122">
        <v>15</v>
      </c>
      <c r="G122" t="str">
        <f t="shared" si="28"/>
        <v xml:space="preserve">Aerobar Bolts: Top 30mm; Bottom 15mm </v>
      </c>
    </row>
    <row r="123" spans="2:7" x14ac:dyDescent="0.25">
      <c r="B123" t="str">
        <f>TEXT($B$113,0) &amp; " + 30 + bridge + 5"</f>
        <v>Stem: 70x30  ----- Aluminium Aerobar + 30 + bridge + 5</v>
      </c>
      <c r="C123">
        <f t="shared" si="30"/>
        <v>37</v>
      </c>
      <c r="D123">
        <f>$D$11+$D$20+40</f>
        <v>148</v>
      </c>
      <c r="E123">
        <v>30</v>
      </c>
      <c r="F123">
        <v>15</v>
      </c>
      <c r="G123" t="str">
        <f t="shared" si="28"/>
        <v xml:space="preserve">Aerobar Bolts: Top 30mm; Bottom 15mm </v>
      </c>
    </row>
    <row r="124" spans="2:7" x14ac:dyDescent="0.25">
      <c r="B124" t="str">
        <f>TEXT($B$113,0) &amp; " + 40 + bridge"</f>
        <v>Stem: 70x30  ----- Aluminium Aerobar + 40 + bridge</v>
      </c>
      <c r="C124">
        <f t="shared" si="30"/>
        <v>37</v>
      </c>
      <c r="D124">
        <f>$D$11+$D$20+45</f>
        <v>153</v>
      </c>
      <c r="E124">
        <v>35</v>
      </c>
      <c r="F124">
        <v>15</v>
      </c>
      <c r="G124" t="str">
        <f t="shared" si="28"/>
        <v xml:space="preserve">Aerobar Bolts: Top 35mm; Bottom 15mm </v>
      </c>
    </row>
    <row r="125" spans="2:7" x14ac:dyDescent="0.25">
      <c r="B125" t="str">
        <f>TEXT($B$113,0) &amp; " + 40 + bridge + 5"</f>
        <v>Stem: 70x30  ----- Aluminium Aerobar + 40 + bridge + 5</v>
      </c>
      <c r="C125">
        <f t="shared" si="30"/>
        <v>37</v>
      </c>
      <c r="D125">
        <f>$D$11+$D$20+50</f>
        <v>158</v>
      </c>
      <c r="E125">
        <v>35</v>
      </c>
      <c r="F125">
        <v>15</v>
      </c>
      <c r="G125" t="str">
        <f t="shared" si="28"/>
        <v xml:space="preserve">Aerobar Bolts: Top 35mm; Bottom 15mm </v>
      </c>
    </row>
    <row r="126" spans="2:7" x14ac:dyDescent="0.25">
      <c r="B126" t="str">
        <f>TEXT($B$113,0) &amp; " + 40 + bridge + 10"</f>
        <v>Stem: 70x30  ----- Aluminium Aerobar + 40 + bridge + 10</v>
      </c>
      <c r="C126">
        <f t="shared" si="30"/>
        <v>37</v>
      </c>
      <c r="D126">
        <f>$D$11+$D$20+55</f>
        <v>163</v>
      </c>
      <c r="E126">
        <v>35</v>
      </c>
      <c r="F126">
        <v>15</v>
      </c>
      <c r="G126" t="str">
        <f t="shared" si="28"/>
        <v xml:space="preserve">Aerobar Bolts: Top 35mm; Bottom 15mm </v>
      </c>
    </row>
    <row r="127" spans="2:7" x14ac:dyDescent="0.25">
      <c r="B127" t="str">
        <f>TEXT($B$113,0) &amp; " + 40 + bridge + 10 + 5"</f>
        <v>Stem: 70x30  ----- Aluminium Aerobar + 40 + bridge + 10 + 5</v>
      </c>
      <c r="C127">
        <f t="shared" si="30"/>
        <v>37</v>
      </c>
      <c r="D127">
        <f>$D$11+$D$20+60</f>
        <v>168</v>
      </c>
      <c r="E127">
        <v>35</v>
      </c>
      <c r="F127">
        <v>25</v>
      </c>
      <c r="G127" t="str">
        <f t="shared" si="28"/>
        <v xml:space="preserve">Aerobar Bolts: Top 35mm; Bottom 25mm </v>
      </c>
    </row>
    <row r="128" spans="2:7" x14ac:dyDescent="0.25">
      <c r="B128" t="str">
        <f>"Stem: "&amp;TEXT($B$12,0)&amp;" "&amp;" ----- "&amp;TEXT($B$20,0)</f>
        <v>Stem: 70x60  ----- Aluminium Aerobar</v>
      </c>
      <c r="C128">
        <v>27</v>
      </c>
      <c r="D128">
        <f>$D$12+$D$20</f>
        <v>139</v>
      </c>
      <c r="E128">
        <v>20</v>
      </c>
      <c r="F128" t="str">
        <f>F113</f>
        <v>N/A</v>
      </c>
      <c r="G128" t="str">
        <f t="shared" si="28"/>
        <v xml:space="preserve">Aerobar Bolts: Top 20mm; Bottom N/A </v>
      </c>
    </row>
    <row r="129" spans="2:7" x14ac:dyDescent="0.25">
      <c r="B129" t="str">
        <f>TEXT($B$128,0) &amp; " + 5"</f>
        <v>Stem: 70x60  ----- Aluminium Aerobar + 5</v>
      </c>
      <c r="C129">
        <f t="shared" ref="C129:C142" si="31">$C$12+$C$20</f>
        <v>27</v>
      </c>
      <c r="D129">
        <f>$D$12+$D$20+5</f>
        <v>144</v>
      </c>
      <c r="E129">
        <v>25</v>
      </c>
      <c r="F129" t="s">
        <v>102</v>
      </c>
      <c r="G129" t="str">
        <f t="shared" si="28"/>
        <v xml:space="preserve">Aerobar Bolts: Top 25mm; Bottom N/A </v>
      </c>
    </row>
    <row r="130" spans="2:7" x14ac:dyDescent="0.25">
      <c r="B130" t="str">
        <f>TEXT($B$128,0) &amp; " + 10"</f>
        <v>Stem: 70x60  ----- Aluminium Aerobar + 10</v>
      </c>
      <c r="C130">
        <f t="shared" si="31"/>
        <v>27</v>
      </c>
      <c r="D130">
        <f>$D$12+$D$20+10</f>
        <v>149</v>
      </c>
      <c r="E130">
        <v>30</v>
      </c>
      <c r="F130" t="s">
        <v>102</v>
      </c>
      <c r="G130" t="str">
        <f t="shared" si="28"/>
        <v xml:space="preserve">Aerobar Bolts: Top 30mm; Bottom N/A </v>
      </c>
    </row>
    <row r="131" spans="2:7" x14ac:dyDescent="0.25">
      <c r="B131" t="str">
        <f>TEXT($B$128,0) &amp; " + 5 + 10"</f>
        <v>Stem: 70x60  ----- Aluminium Aerobar + 5 + 10</v>
      </c>
      <c r="C131">
        <f t="shared" si="31"/>
        <v>27</v>
      </c>
      <c r="D131">
        <f>$D$12+$D$20+15</f>
        <v>154</v>
      </c>
      <c r="E131">
        <v>35</v>
      </c>
      <c r="F131" t="s">
        <v>102</v>
      </c>
      <c r="G131" t="str">
        <f t="shared" si="28"/>
        <v xml:space="preserve">Aerobar Bolts: Top 35mm; Bottom N/A </v>
      </c>
    </row>
    <row r="132" spans="2:7" x14ac:dyDescent="0.25">
      <c r="B132" t="str">
        <f>TEXT($B$128,0) &amp; " + 20"</f>
        <v>Stem: 70x60  ----- Aluminium Aerobar + 20</v>
      </c>
      <c r="C132">
        <f t="shared" si="31"/>
        <v>27</v>
      </c>
      <c r="D132">
        <f>$D$12+$D$20+20</f>
        <v>159</v>
      </c>
      <c r="E132">
        <v>20</v>
      </c>
      <c r="F132">
        <v>15</v>
      </c>
      <c r="G132" t="str">
        <f t="shared" si="28"/>
        <v xml:space="preserve">Aerobar Bolts: Top 20mm; Bottom 15mm </v>
      </c>
    </row>
    <row r="133" spans="2:7" x14ac:dyDescent="0.25">
      <c r="B133" t="str">
        <f>TEXT($B$128,0) &amp; " + 20 + 5"</f>
        <v>Stem: 70x60  ----- Aluminium Aerobar + 20 + 5</v>
      </c>
      <c r="C133">
        <f t="shared" si="31"/>
        <v>27</v>
      </c>
      <c r="D133">
        <f>$D$12+$D$20+25</f>
        <v>164</v>
      </c>
      <c r="E133">
        <v>25</v>
      </c>
      <c r="F133">
        <v>15</v>
      </c>
      <c r="G133" t="str">
        <f t="shared" si="28"/>
        <v xml:space="preserve">Aerobar Bolts: Top 25mm; Bottom 15mm </v>
      </c>
    </row>
    <row r="134" spans="2:7" x14ac:dyDescent="0.25">
      <c r="B134" t="str">
        <f>TEXT($B$128,0) &amp; " + 20 + bridge"</f>
        <v>Stem: 70x60  ----- Aluminium Aerobar + 20 + bridge</v>
      </c>
      <c r="C134">
        <f t="shared" si="31"/>
        <v>27</v>
      </c>
      <c r="D134">
        <f>$D$12+$D$20+25</f>
        <v>164</v>
      </c>
      <c r="E134">
        <v>25</v>
      </c>
      <c r="F134">
        <v>15</v>
      </c>
      <c r="G134" t="str">
        <f t="shared" si="28"/>
        <v xml:space="preserve">Aerobar Bolts: Top 25mm; Bottom 15mm </v>
      </c>
    </row>
    <row r="135" spans="2:7" x14ac:dyDescent="0.25">
      <c r="B135" t="str">
        <f>TEXT($B$128,0) &amp; " + 30"</f>
        <v>Stem: 70x60  ----- Aluminium Aerobar + 30</v>
      </c>
      <c r="C135">
        <f t="shared" si="31"/>
        <v>27</v>
      </c>
      <c r="D135">
        <f>$D$12+$D$20+30</f>
        <v>169</v>
      </c>
      <c r="E135">
        <v>25</v>
      </c>
      <c r="F135">
        <v>15</v>
      </c>
      <c r="G135" t="str">
        <f t="shared" si="28"/>
        <v xml:space="preserve">Aerobar Bolts: Top 25mm; Bottom 15mm </v>
      </c>
    </row>
    <row r="136" spans="2:7" x14ac:dyDescent="0.25">
      <c r="B136" t="str">
        <f>TEXT($B$128,0) &amp; " + 20 + bridge + 5"</f>
        <v>Stem: 70x60  ----- Aluminium Aerobar + 20 + bridge + 5</v>
      </c>
      <c r="C136">
        <f t="shared" si="31"/>
        <v>27</v>
      </c>
      <c r="D136">
        <f>$D$12+$D$20+30</f>
        <v>169</v>
      </c>
      <c r="E136">
        <v>25</v>
      </c>
      <c r="F136">
        <v>15</v>
      </c>
      <c r="G136" t="str">
        <f t="shared" si="28"/>
        <v xml:space="preserve">Aerobar Bolts: Top 25mm; Bottom 15mm </v>
      </c>
    </row>
    <row r="137" spans="2:7" x14ac:dyDescent="0.25">
      <c r="B137" t="str">
        <f>TEXT($B$128,0) &amp; " + 30 + bridge"</f>
        <v>Stem: 70x60  ----- Aluminium Aerobar + 30 + bridge</v>
      </c>
      <c r="C137">
        <f t="shared" si="31"/>
        <v>27</v>
      </c>
      <c r="D137">
        <f>$D$12+$D$20+35</f>
        <v>174</v>
      </c>
      <c r="E137">
        <v>30</v>
      </c>
      <c r="F137">
        <v>15</v>
      </c>
      <c r="G137" t="str">
        <f t="shared" si="28"/>
        <v xml:space="preserve">Aerobar Bolts: Top 30mm; Bottom 15mm </v>
      </c>
    </row>
    <row r="138" spans="2:7" x14ac:dyDescent="0.25">
      <c r="B138" t="str">
        <f>TEXT($B$128,0) &amp; " + 30 + bridge + 5"</f>
        <v>Stem: 70x60  ----- Aluminium Aerobar + 30 + bridge + 5</v>
      </c>
      <c r="C138">
        <f t="shared" si="31"/>
        <v>27</v>
      </c>
      <c r="D138">
        <f>$D$12+$D$20+40</f>
        <v>179</v>
      </c>
      <c r="E138">
        <v>30</v>
      </c>
      <c r="F138">
        <v>15</v>
      </c>
      <c r="G138" t="str">
        <f t="shared" si="28"/>
        <v xml:space="preserve">Aerobar Bolts: Top 30mm; Bottom 15mm </v>
      </c>
    </row>
    <row r="139" spans="2:7" x14ac:dyDescent="0.25">
      <c r="B139" t="str">
        <f>TEXT($B$128,0) &amp; " + 40 + bridge"</f>
        <v>Stem: 70x60  ----- Aluminium Aerobar + 40 + bridge</v>
      </c>
      <c r="C139">
        <f t="shared" si="31"/>
        <v>27</v>
      </c>
      <c r="D139">
        <f>$D$12+$D$20+45</f>
        <v>184</v>
      </c>
      <c r="E139">
        <v>35</v>
      </c>
      <c r="F139">
        <v>15</v>
      </c>
      <c r="G139" t="str">
        <f t="shared" si="28"/>
        <v xml:space="preserve">Aerobar Bolts: Top 35mm; Bottom 15mm </v>
      </c>
    </row>
    <row r="140" spans="2:7" x14ac:dyDescent="0.25">
      <c r="B140" t="str">
        <f>TEXT($B$128,0) &amp; " + 40 + bridge + 5"</f>
        <v>Stem: 70x60  ----- Aluminium Aerobar + 40 + bridge + 5</v>
      </c>
      <c r="C140">
        <f t="shared" si="31"/>
        <v>27</v>
      </c>
      <c r="D140">
        <f>$D$12+$D$20+50</f>
        <v>189</v>
      </c>
      <c r="E140">
        <v>35</v>
      </c>
      <c r="F140">
        <v>15</v>
      </c>
      <c r="G140" t="str">
        <f t="shared" si="28"/>
        <v xml:space="preserve">Aerobar Bolts: Top 35mm; Bottom 15mm </v>
      </c>
    </row>
    <row r="141" spans="2:7" x14ac:dyDescent="0.25">
      <c r="B141" t="str">
        <f>TEXT($B$128,0) &amp; " + 40 + bridge + 10"</f>
        <v>Stem: 70x60  ----- Aluminium Aerobar + 40 + bridge + 10</v>
      </c>
      <c r="C141">
        <f t="shared" si="31"/>
        <v>27</v>
      </c>
      <c r="D141">
        <f>$D$12+$D$20+55</f>
        <v>194</v>
      </c>
      <c r="E141">
        <v>35</v>
      </c>
      <c r="F141">
        <v>15</v>
      </c>
      <c r="G141" t="str">
        <f t="shared" si="28"/>
        <v xml:space="preserve">Aerobar Bolts: Top 35mm; Bottom 15mm </v>
      </c>
    </row>
    <row r="142" spans="2:7" x14ac:dyDescent="0.25">
      <c r="B142" t="str">
        <f>TEXT($B$128,0) &amp; " + 40 + bridge + 10 + 5"</f>
        <v>Stem: 70x60  ----- Aluminium Aerobar + 40 + bridge + 10 + 5</v>
      </c>
      <c r="C142">
        <f t="shared" si="31"/>
        <v>27</v>
      </c>
      <c r="D142">
        <f>$D$12+$D$20+60</f>
        <v>199</v>
      </c>
      <c r="E142">
        <v>35</v>
      </c>
      <c r="F142">
        <v>25</v>
      </c>
      <c r="G142" t="str">
        <f t="shared" si="28"/>
        <v xml:space="preserve">Aerobar Bolts: Top 35mm; Bottom 25mm </v>
      </c>
    </row>
    <row r="143" spans="2:7" x14ac:dyDescent="0.25">
      <c r="B143" t="str">
        <f>"Stem: "&amp;TEXT($B$13,0)&amp;" "&amp;" ----- "&amp;TEXT($B$20,0)</f>
        <v>Stem: 100x30  ----- Aluminium Aerobar</v>
      </c>
      <c r="C143">
        <f t="shared" ref="C143:C157" si="32">$C$13+$C$20</f>
        <v>67</v>
      </c>
      <c r="D143">
        <f>$D$13+$D$20</f>
        <v>109</v>
      </c>
      <c r="E143">
        <v>20</v>
      </c>
      <c r="F143" t="str">
        <f>F128</f>
        <v>N/A</v>
      </c>
      <c r="G143" t="str">
        <f t="shared" si="28"/>
        <v xml:space="preserve">Aerobar Bolts: Top 20mm; Bottom N/A </v>
      </c>
    </row>
    <row r="144" spans="2:7" x14ac:dyDescent="0.25">
      <c r="B144" t="str">
        <f>TEXT($B$143,0) &amp; " + 5"</f>
        <v>Stem: 100x30  ----- Aluminium Aerobar + 5</v>
      </c>
      <c r="C144">
        <f t="shared" si="32"/>
        <v>67</v>
      </c>
      <c r="D144">
        <f>$D$13+$D$20+5</f>
        <v>114</v>
      </c>
      <c r="E144">
        <v>25</v>
      </c>
      <c r="F144" t="s">
        <v>102</v>
      </c>
      <c r="G144" t="str">
        <f t="shared" si="28"/>
        <v xml:space="preserve">Aerobar Bolts: Top 25mm; Bottom N/A </v>
      </c>
    </row>
    <row r="145" spans="2:7" x14ac:dyDescent="0.25">
      <c r="B145" t="str">
        <f>TEXT($B$143,0) &amp; " + 10"</f>
        <v>Stem: 100x30  ----- Aluminium Aerobar + 10</v>
      </c>
      <c r="C145">
        <f t="shared" si="32"/>
        <v>67</v>
      </c>
      <c r="D145">
        <f>$D$13+$D$20+10</f>
        <v>119</v>
      </c>
      <c r="E145">
        <v>30</v>
      </c>
      <c r="F145" t="s">
        <v>102</v>
      </c>
      <c r="G145" t="str">
        <f t="shared" si="28"/>
        <v xml:space="preserve">Aerobar Bolts: Top 30mm; Bottom N/A </v>
      </c>
    </row>
    <row r="146" spans="2:7" x14ac:dyDescent="0.25">
      <c r="B146" t="str">
        <f>TEXT($B$143,0) &amp; " + 5 + 10"</f>
        <v>Stem: 100x30  ----- Aluminium Aerobar + 5 + 10</v>
      </c>
      <c r="C146">
        <f t="shared" si="32"/>
        <v>67</v>
      </c>
      <c r="D146">
        <f>$D$13+$D$20+15</f>
        <v>124</v>
      </c>
      <c r="E146">
        <v>35</v>
      </c>
      <c r="F146" t="s">
        <v>102</v>
      </c>
      <c r="G146" t="str">
        <f t="shared" si="28"/>
        <v xml:space="preserve">Aerobar Bolts: Top 35mm; Bottom N/A </v>
      </c>
    </row>
    <row r="147" spans="2:7" x14ac:dyDescent="0.25">
      <c r="B147" t="str">
        <f>TEXT($B$143,0) &amp; " + 20"</f>
        <v>Stem: 100x30  ----- Aluminium Aerobar + 20</v>
      </c>
      <c r="C147">
        <f t="shared" si="32"/>
        <v>67</v>
      </c>
      <c r="D147">
        <f>$D$13+$D$20+20</f>
        <v>129</v>
      </c>
      <c r="E147">
        <v>20</v>
      </c>
      <c r="F147">
        <v>15</v>
      </c>
      <c r="G147" t="str">
        <f t="shared" si="28"/>
        <v xml:space="preserve">Aerobar Bolts: Top 20mm; Bottom 15mm </v>
      </c>
    </row>
    <row r="148" spans="2:7" x14ac:dyDescent="0.25">
      <c r="B148" t="str">
        <f>TEXT($B$143,0) &amp; " + 20 + 5"</f>
        <v>Stem: 100x30  ----- Aluminium Aerobar + 20 + 5</v>
      </c>
      <c r="C148">
        <f t="shared" si="32"/>
        <v>67</v>
      </c>
      <c r="D148">
        <f>$D$13+$D$20+25</f>
        <v>134</v>
      </c>
      <c r="E148">
        <v>25</v>
      </c>
      <c r="F148">
        <v>15</v>
      </c>
      <c r="G148" t="str">
        <f t="shared" si="28"/>
        <v xml:space="preserve">Aerobar Bolts: Top 25mm; Bottom 15mm </v>
      </c>
    </row>
    <row r="149" spans="2:7" x14ac:dyDescent="0.25">
      <c r="B149" t="str">
        <f>TEXT($B$143,0) &amp; " + 20 + bridge"</f>
        <v>Stem: 100x30  ----- Aluminium Aerobar + 20 + bridge</v>
      </c>
      <c r="C149">
        <f t="shared" si="32"/>
        <v>67</v>
      </c>
      <c r="D149">
        <f>$D$13+$D$20+25</f>
        <v>134</v>
      </c>
      <c r="E149">
        <v>25</v>
      </c>
      <c r="F149">
        <v>15</v>
      </c>
      <c r="G149" t="str">
        <f t="shared" si="28"/>
        <v xml:space="preserve">Aerobar Bolts: Top 25mm; Bottom 15mm </v>
      </c>
    </row>
    <row r="150" spans="2:7" x14ac:dyDescent="0.25">
      <c r="B150" t="str">
        <f>TEXT($B$143,0) &amp; " + 30"</f>
        <v>Stem: 100x30  ----- Aluminium Aerobar + 30</v>
      </c>
      <c r="C150">
        <f t="shared" si="32"/>
        <v>67</v>
      </c>
      <c r="D150">
        <f>$D$13+$D$20+30</f>
        <v>139</v>
      </c>
      <c r="E150">
        <v>25</v>
      </c>
      <c r="F150">
        <v>15</v>
      </c>
      <c r="G150" t="str">
        <f t="shared" si="28"/>
        <v xml:space="preserve">Aerobar Bolts: Top 25mm; Bottom 15mm </v>
      </c>
    </row>
    <row r="151" spans="2:7" x14ac:dyDescent="0.25">
      <c r="B151" t="str">
        <f>TEXT($B$143,0) &amp; " + 20 + bridge + 5"</f>
        <v>Stem: 100x30  ----- Aluminium Aerobar + 20 + bridge + 5</v>
      </c>
      <c r="C151">
        <f t="shared" si="32"/>
        <v>67</v>
      </c>
      <c r="D151">
        <f>$D$13+$D$20+30</f>
        <v>139</v>
      </c>
      <c r="E151">
        <v>25</v>
      </c>
      <c r="F151">
        <v>15</v>
      </c>
      <c r="G151" t="str">
        <f t="shared" si="28"/>
        <v xml:space="preserve">Aerobar Bolts: Top 25mm; Bottom 15mm </v>
      </c>
    </row>
    <row r="152" spans="2:7" x14ac:dyDescent="0.25">
      <c r="B152" t="str">
        <f>TEXT($B$143,0) &amp; " + 30 + bridge"</f>
        <v>Stem: 100x30  ----- Aluminium Aerobar + 30 + bridge</v>
      </c>
      <c r="C152">
        <f t="shared" si="32"/>
        <v>67</v>
      </c>
      <c r="D152">
        <f>$D$13+$D$20+35</f>
        <v>144</v>
      </c>
      <c r="E152">
        <v>30</v>
      </c>
      <c r="F152">
        <v>15</v>
      </c>
      <c r="G152" t="str">
        <f t="shared" ref="G152:G202" si="33">IF(AND(E152="N/A",F152="N/A"),TEXT($E$21,0)&amp;" "&amp;TEXT($E$22,0)&amp;" "&amp;E152&amp;"; "&amp;TEXT($F$22,0)&amp;" "&amp;F152&amp;" ",IF(F152="N/A",TEXT($E$21,0)&amp;" "&amp;TEXT($E$22,0)&amp;" "&amp;E152&amp;"mm; "&amp;TEXT($F$22,0)&amp;" "&amp;F152&amp;" ",TEXT($E$21,0)&amp;" "&amp;TEXT($E$22,0)&amp;" "&amp;E152&amp;"mm; "&amp;TEXT($F$22,0)&amp;" "&amp;F152&amp;"mm "))</f>
        <v xml:space="preserve">Aerobar Bolts: Top 30mm; Bottom 15mm </v>
      </c>
    </row>
    <row r="153" spans="2:7" x14ac:dyDescent="0.25">
      <c r="B153" t="str">
        <f>TEXT($B$143,0) &amp; " + 30 + bridge + 5"</f>
        <v>Stem: 100x30  ----- Aluminium Aerobar + 30 + bridge + 5</v>
      </c>
      <c r="C153">
        <f t="shared" si="32"/>
        <v>67</v>
      </c>
      <c r="D153">
        <f>$D$13+$D$20+40</f>
        <v>149</v>
      </c>
      <c r="E153">
        <v>30</v>
      </c>
      <c r="F153">
        <v>15</v>
      </c>
      <c r="G153" t="str">
        <f t="shared" si="33"/>
        <v xml:space="preserve">Aerobar Bolts: Top 30mm; Bottom 15mm </v>
      </c>
    </row>
    <row r="154" spans="2:7" x14ac:dyDescent="0.25">
      <c r="B154" t="str">
        <f>TEXT($B$143,0) &amp; " + 40 + bridge"</f>
        <v>Stem: 100x30  ----- Aluminium Aerobar + 40 + bridge</v>
      </c>
      <c r="C154">
        <f t="shared" si="32"/>
        <v>67</v>
      </c>
      <c r="D154">
        <f>$D$13+$D$20+45</f>
        <v>154</v>
      </c>
      <c r="E154">
        <v>35</v>
      </c>
      <c r="F154">
        <v>15</v>
      </c>
      <c r="G154" t="str">
        <f t="shared" si="33"/>
        <v xml:space="preserve">Aerobar Bolts: Top 35mm; Bottom 15mm </v>
      </c>
    </row>
    <row r="155" spans="2:7" x14ac:dyDescent="0.25">
      <c r="B155" t="str">
        <f>TEXT($B$143,0) &amp; " + 40 + bridge + 5"</f>
        <v>Stem: 100x30  ----- Aluminium Aerobar + 40 + bridge + 5</v>
      </c>
      <c r="C155">
        <f t="shared" si="32"/>
        <v>67</v>
      </c>
      <c r="D155">
        <f>$D$13+$D$20+50</f>
        <v>159</v>
      </c>
      <c r="E155">
        <v>35</v>
      </c>
      <c r="F155">
        <v>15</v>
      </c>
      <c r="G155" t="str">
        <f t="shared" si="33"/>
        <v xml:space="preserve">Aerobar Bolts: Top 35mm; Bottom 15mm </v>
      </c>
    </row>
    <row r="156" spans="2:7" x14ac:dyDescent="0.25">
      <c r="B156" t="str">
        <f>TEXT($B$143,0) &amp; " + 40 + bridge + 10"</f>
        <v>Stem: 100x30  ----- Aluminium Aerobar + 40 + bridge + 10</v>
      </c>
      <c r="C156">
        <f t="shared" si="32"/>
        <v>67</v>
      </c>
      <c r="D156">
        <f>$D$13+$D$20+55</f>
        <v>164</v>
      </c>
      <c r="E156">
        <v>35</v>
      </c>
      <c r="F156">
        <v>15</v>
      </c>
      <c r="G156" t="str">
        <f t="shared" si="33"/>
        <v xml:space="preserve">Aerobar Bolts: Top 35mm; Bottom 15mm </v>
      </c>
    </row>
    <row r="157" spans="2:7" x14ac:dyDescent="0.25">
      <c r="B157" t="str">
        <f>TEXT($B$143,0) &amp; " + 40 + bridge + 10 + 5"</f>
        <v>Stem: 100x30  ----- Aluminium Aerobar + 40 + bridge + 10 + 5</v>
      </c>
      <c r="C157">
        <f t="shared" si="32"/>
        <v>67</v>
      </c>
      <c r="D157">
        <f>$D$13+$D$20+60</f>
        <v>169</v>
      </c>
      <c r="E157">
        <v>35</v>
      </c>
      <c r="F157">
        <v>25</v>
      </c>
      <c r="G157" t="str">
        <f t="shared" si="33"/>
        <v xml:space="preserve">Aerobar Bolts: Top 35mm; Bottom 25mm </v>
      </c>
    </row>
    <row r="158" spans="2:7" x14ac:dyDescent="0.25">
      <c r="B158" t="str">
        <f>"Stem: "&amp;TEXT($B$14,0)&amp;" "&amp;" ----- "&amp;TEXT($B$20,0)</f>
        <v>Stem: 100x60  ----- Aluminium Aerobar</v>
      </c>
      <c r="C158">
        <f t="shared" ref="C158:C172" si="34">$C$14+$C$20</f>
        <v>58</v>
      </c>
      <c r="D158">
        <f>$D$14+$D$20</f>
        <v>139</v>
      </c>
      <c r="E158">
        <v>20</v>
      </c>
      <c r="F158" t="str">
        <f>F143</f>
        <v>N/A</v>
      </c>
      <c r="G158" t="str">
        <f t="shared" si="33"/>
        <v xml:space="preserve">Aerobar Bolts: Top 20mm; Bottom N/A </v>
      </c>
    </row>
    <row r="159" spans="2:7" x14ac:dyDescent="0.25">
      <c r="B159" t="str">
        <f>TEXT($B$158,0) &amp; " + 5"</f>
        <v>Stem: 100x60  ----- Aluminium Aerobar + 5</v>
      </c>
      <c r="C159">
        <f t="shared" si="34"/>
        <v>58</v>
      </c>
      <c r="D159">
        <f>$D$14+$D$20+5</f>
        <v>144</v>
      </c>
      <c r="E159">
        <v>25</v>
      </c>
      <c r="F159" t="s">
        <v>102</v>
      </c>
      <c r="G159" t="str">
        <f t="shared" si="33"/>
        <v xml:space="preserve">Aerobar Bolts: Top 25mm; Bottom N/A </v>
      </c>
    </row>
    <row r="160" spans="2:7" x14ac:dyDescent="0.25">
      <c r="B160" t="str">
        <f>TEXT($B$158,0) &amp; " + 10"</f>
        <v>Stem: 100x60  ----- Aluminium Aerobar + 10</v>
      </c>
      <c r="C160">
        <f t="shared" si="34"/>
        <v>58</v>
      </c>
      <c r="D160">
        <f>$D$14+$D$20+10</f>
        <v>149</v>
      </c>
      <c r="E160">
        <v>30</v>
      </c>
      <c r="F160" t="s">
        <v>102</v>
      </c>
      <c r="G160" t="str">
        <f t="shared" si="33"/>
        <v xml:space="preserve">Aerobar Bolts: Top 30mm; Bottom N/A </v>
      </c>
    </row>
    <row r="161" spans="2:7" x14ac:dyDescent="0.25">
      <c r="B161" t="str">
        <f>TEXT($B$158,0) &amp; " + 5 + 10"</f>
        <v>Stem: 100x60  ----- Aluminium Aerobar + 5 + 10</v>
      </c>
      <c r="C161">
        <f t="shared" si="34"/>
        <v>58</v>
      </c>
      <c r="D161">
        <f>$D$14+$D$20+15</f>
        <v>154</v>
      </c>
      <c r="E161">
        <v>35</v>
      </c>
      <c r="F161" t="s">
        <v>102</v>
      </c>
      <c r="G161" t="str">
        <f t="shared" si="33"/>
        <v xml:space="preserve">Aerobar Bolts: Top 35mm; Bottom N/A </v>
      </c>
    </row>
    <row r="162" spans="2:7" x14ac:dyDescent="0.25">
      <c r="B162" t="str">
        <f>TEXT($B$158,0) &amp; " + 20"</f>
        <v>Stem: 100x60  ----- Aluminium Aerobar + 20</v>
      </c>
      <c r="C162">
        <f t="shared" si="34"/>
        <v>58</v>
      </c>
      <c r="D162">
        <f>$D$14+$D$20+20</f>
        <v>159</v>
      </c>
      <c r="E162">
        <v>20</v>
      </c>
      <c r="F162">
        <v>15</v>
      </c>
      <c r="G162" t="str">
        <f t="shared" si="33"/>
        <v xml:space="preserve">Aerobar Bolts: Top 20mm; Bottom 15mm </v>
      </c>
    </row>
    <row r="163" spans="2:7" x14ac:dyDescent="0.25">
      <c r="B163" t="str">
        <f>TEXT($B$158,0) &amp; " + 20 + 5"</f>
        <v>Stem: 100x60  ----- Aluminium Aerobar + 20 + 5</v>
      </c>
      <c r="C163">
        <f t="shared" si="34"/>
        <v>58</v>
      </c>
      <c r="D163">
        <f>$D$14+$D$20+25</f>
        <v>164</v>
      </c>
      <c r="E163">
        <v>25</v>
      </c>
      <c r="F163">
        <v>15</v>
      </c>
      <c r="G163" t="str">
        <f t="shared" si="33"/>
        <v xml:space="preserve">Aerobar Bolts: Top 25mm; Bottom 15mm </v>
      </c>
    </row>
    <row r="164" spans="2:7" x14ac:dyDescent="0.25">
      <c r="B164" t="str">
        <f>TEXT($B$158,0) &amp; " + 20 + bridge"</f>
        <v>Stem: 100x60  ----- Aluminium Aerobar + 20 + bridge</v>
      </c>
      <c r="C164">
        <f t="shared" si="34"/>
        <v>58</v>
      </c>
      <c r="D164">
        <f>$D$14+$D$20+25</f>
        <v>164</v>
      </c>
      <c r="E164">
        <v>25</v>
      </c>
      <c r="F164">
        <v>15</v>
      </c>
      <c r="G164" t="str">
        <f t="shared" si="33"/>
        <v xml:space="preserve">Aerobar Bolts: Top 25mm; Bottom 15mm </v>
      </c>
    </row>
    <row r="165" spans="2:7" x14ac:dyDescent="0.25">
      <c r="B165" t="str">
        <f>TEXT($B$158,0) &amp; " + 30"</f>
        <v>Stem: 100x60  ----- Aluminium Aerobar + 30</v>
      </c>
      <c r="C165">
        <f t="shared" si="34"/>
        <v>58</v>
      </c>
      <c r="D165">
        <f>$D$14+$D$20+30</f>
        <v>169</v>
      </c>
      <c r="E165">
        <v>25</v>
      </c>
      <c r="F165">
        <v>15</v>
      </c>
      <c r="G165" t="str">
        <f t="shared" si="33"/>
        <v xml:space="preserve">Aerobar Bolts: Top 25mm; Bottom 15mm </v>
      </c>
    </row>
    <row r="166" spans="2:7" x14ac:dyDescent="0.25">
      <c r="B166" t="str">
        <f>TEXT($B$158,0) &amp; " + 20 + bridge + 5"</f>
        <v>Stem: 100x60  ----- Aluminium Aerobar + 20 + bridge + 5</v>
      </c>
      <c r="C166">
        <f t="shared" si="34"/>
        <v>58</v>
      </c>
      <c r="D166">
        <f>$D$14+$D$20+30</f>
        <v>169</v>
      </c>
      <c r="E166">
        <v>25</v>
      </c>
      <c r="F166">
        <v>15</v>
      </c>
      <c r="G166" t="str">
        <f t="shared" si="33"/>
        <v xml:space="preserve">Aerobar Bolts: Top 25mm; Bottom 15mm </v>
      </c>
    </row>
    <row r="167" spans="2:7" x14ac:dyDescent="0.25">
      <c r="B167" t="str">
        <f>TEXT($B$158,0) &amp; " + 30 + bridge"</f>
        <v>Stem: 100x60  ----- Aluminium Aerobar + 30 + bridge</v>
      </c>
      <c r="C167">
        <f t="shared" si="34"/>
        <v>58</v>
      </c>
      <c r="D167">
        <f>$D$14+$D$20+35</f>
        <v>174</v>
      </c>
      <c r="E167">
        <v>30</v>
      </c>
      <c r="F167">
        <v>15</v>
      </c>
      <c r="G167" t="str">
        <f t="shared" si="33"/>
        <v xml:space="preserve">Aerobar Bolts: Top 30mm; Bottom 15mm </v>
      </c>
    </row>
    <row r="168" spans="2:7" x14ac:dyDescent="0.25">
      <c r="B168" t="str">
        <f>TEXT($B$158,0) &amp; " + 30 + bridge + 5"</f>
        <v>Stem: 100x60  ----- Aluminium Aerobar + 30 + bridge + 5</v>
      </c>
      <c r="C168">
        <f t="shared" si="34"/>
        <v>58</v>
      </c>
      <c r="D168">
        <f>$D$14+$D$20+40</f>
        <v>179</v>
      </c>
      <c r="E168">
        <v>30</v>
      </c>
      <c r="F168">
        <v>15</v>
      </c>
      <c r="G168" t="str">
        <f t="shared" si="33"/>
        <v xml:space="preserve">Aerobar Bolts: Top 30mm; Bottom 15mm </v>
      </c>
    </row>
    <row r="169" spans="2:7" x14ac:dyDescent="0.25">
      <c r="B169" t="str">
        <f>TEXT($B$158,0) &amp; " + 40 + bridge"</f>
        <v>Stem: 100x60  ----- Aluminium Aerobar + 40 + bridge</v>
      </c>
      <c r="C169">
        <f t="shared" si="34"/>
        <v>58</v>
      </c>
      <c r="D169">
        <f>$D$14+$D$20+45</f>
        <v>184</v>
      </c>
      <c r="E169">
        <v>35</v>
      </c>
      <c r="F169">
        <v>15</v>
      </c>
      <c r="G169" t="str">
        <f t="shared" si="33"/>
        <v xml:space="preserve">Aerobar Bolts: Top 35mm; Bottom 15mm </v>
      </c>
    </row>
    <row r="170" spans="2:7" x14ac:dyDescent="0.25">
      <c r="B170" t="str">
        <f>TEXT($B$158,0) &amp; " + 40 + bridge + 5"</f>
        <v>Stem: 100x60  ----- Aluminium Aerobar + 40 + bridge + 5</v>
      </c>
      <c r="C170">
        <f t="shared" si="34"/>
        <v>58</v>
      </c>
      <c r="D170">
        <f>$D$14+$D$20+50</f>
        <v>189</v>
      </c>
      <c r="E170">
        <v>35</v>
      </c>
      <c r="F170">
        <v>15</v>
      </c>
      <c r="G170" t="str">
        <f t="shared" si="33"/>
        <v xml:space="preserve">Aerobar Bolts: Top 35mm; Bottom 15mm </v>
      </c>
    </row>
    <row r="171" spans="2:7" x14ac:dyDescent="0.25">
      <c r="B171" t="str">
        <f>TEXT($B$158,0) &amp; " + 40 + bridge + 10"</f>
        <v>Stem: 100x60  ----- Aluminium Aerobar + 40 + bridge + 10</v>
      </c>
      <c r="C171">
        <f t="shared" si="34"/>
        <v>58</v>
      </c>
      <c r="D171">
        <f>$D$14+$D$20+55</f>
        <v>194</v>
      </c>
      <c r="E171">
        <v>35</v>
      </c>
      <c r="F171">
        <v>15</v>
      </c>
      <c r="G171" t="str">
        <f t="shared" si="33"/>
        <v xml:space="preserve">Aerobar Bolts: Top 35mm; Bottom 15mm </v>
      </c>
    </row>
    <row r="172" spans="2:7" x14ac:dyDescent="0.25">
      <c r="B172" t="str">
        <f>TEXT($B$158,0) &amp; " + 40 + bridge + 10 + 5"</f>
        <v>Stem: 100x60  ----- Aluminium Aerobar + 40 + bridge + 10 + 5</v>
      </c>
      <c r="C172">
        <f t="shared" si="34"/>
        <v>58</v>
      </c>
      <c r="D172">
        <f>$D$14+$D$20+60</f>
        <v>199</v>
      </c>
      <c r="E172">
        <v>35</v>
      </c>
      <c r="F172">
        <v>25</v>
      </c>
      <c r="G172" t="str">
        <f t="shared" si="33"/>
        <v xml:space="preserve">Aerobar Bolts: Top 35mm; Bottom 25mm </v>
      </c>
    </row>
    <row r="173" spans="2:7" x14ac:dyDescent="0.25">
      <c r="B173" t="str">
        <f>"Stem: "&amp;TEXT($B$15,0)&amp;" "&amp;" ----- "&amp;TEXT($B$20,0)</f>
        <v>Stem: 90x0  ----- Aluminium Aerobar</v>
      </c>
      <c r="C173">
        <f t="shared" ref="C173:C187" si="35">$C$15+$C$20</f>
        <v>62</v>
      </c>
      <c r="D173">
        <f>$D$15+$D$20</f>
        <v>77</v>
      </c>
      <c r="E173">
        <v>20</v>
      </c>
      <c r="F173" t="str">
        <f>F158</f>
        <v>N/A</v>
      </c>
      <c r="G173" t="str">
        <f t="shared" si="33"/>
        <v xml:space="preserve">Aerobar Bolts: Top 20mm; Bottom N/A </v>
      </c>
    </row>
    <row r="174" spans="2:7" x14ac:dyDescent="0.25">
      <c r="B174" t="str">
        <f>TEXT($B$173,0) &amp; " + 5"</f>
        <v>Stem: 90x0  ----- Aluminium Aerobar + 5</v>
      </c>
      <c r="C174">
        <f t="shared" si="35"/>
        <v>62</v>
      </c>
      <c r="D174">
        <f>$D$15+$D$20+5</f>
        <v>82</v>
      </c>
      <c r="E174">
        <v>25</v>
      </c>
      <c r="F174" t="s">
        <v>102</v>
      </c>
      <c r="G174" t="str">
        <f t="shared" si="33"/>
        <v xml:space="preserve">Aerobar Bolts: Top 25mm; Bottom N/A </v>
      </c>
    </row>
    <row r="175" spans="2:7" x14ac:dyDescent="0.25">
      <c r="B175" t="str">
        <f>TEXT($B$173,0) &amp; " + 10"</f>
        <v>Stem: 90x0  ----- Aluminium Aerobar + 10</v>
      </c>
      <c r="C175">
        <f t="shared" si="35"/>
        <v>62</v>
      </c>
      <c r="D175">
        <f>$D$15+$D$20+10</f>
        <v>87</v>
      </c>
      <c r="E175">
        <v>30</v>
      </c>
      <c r="F175" t="s">
        <v>102</v>
      </c>
      <c r="G175" t="str">
        <f t="shared" si="33"/>
        <v xml:space="preserve">Aerobar Bolts: Top 30mm; Bottom N/A </v>
      </c>
    </row>
    <row r="176" spans="2:7" x14ac:dyDescent="0.25">
      <c r="B176" t="str">
        <f>TEXT($B$173,0) &amp; " + 5 + 10"</f>
        <v>Stem: 90x0  ----- Aluminium Aerobar + 5 + 10</v>
      </c>
      <c r="C176">
        <f t="shared" si="35"/>
        <v>62</v>
      </c>
      <c r="D176">
        <f>$D$15+$D$20+15</f>
        <v>92</v>
      </c>
      <c r="E176">
        <v>35</v>
      </c>
      <c r="F176" t="s">
        <v>102</v>
      </c>
      <c r="G176" t="str">
        <f t="shared" si="33"/>
        <v xml:space="preserve">Aerobar Bolts: Top 35mm; Bottom N/A </v>
      </c>
    </row>
    <row r="177" spans="2:7" x14ac:dyDescent="0.25">
      <c r="B177" t="str">
        <f>TEXT($B$173,0) &amp; " + 20"</f>
        <v>Stem: 90x0  ----- Aluminium Aerobar + 20</v>
      </c>
      <c r="C177">
        <f t="shared" si="35"/>
        <v>62</v>
      </c>
      <c r="D177">
        <f>$D$15+$D$20+20</f>
        <v>97</v>
      </c>
      <c r="E177">
        <v>20</v>
      </c>
      <c r="F177">
        <v>15</v>
      </c>
      <c r="G177" t="str">
        <f t="shared" si="33"/>
        <v xml:space="preserve">Aerobar Bolts: Top 20mm; Bottom 15mm </v>
      </c>
    </row>
    <row r="178" spans="2:7" x14ac:dyDescent="0.25">
      <c r="B178" t="str">
        <f>TEXT($B$173,0) &amp; " + 20 + 5"</f>
        <v>Stem: 90x0  ----- Aluminium Aerobar + 20 + 5</v>
      </c>
      <c r="C178">
        <f t="shared" si="35"/>
        <v>62</v>
      </c>
      <c r="D178">
        <f>$D$15+$D$20+25</f>
        <v>102</v>
      </c>
      <c r="E178">
        <v>25</v>
      </c>
      <c r="F178">
        <v>15</v>
      </c>
      <c r="G178" t="str">
        <f t="shared" si="33"/>
        <v xml:space="preserve">Aerobar Bolts: Top 25mm; Bottom 15mm </v>
      </c>
    </row>
    <row r="179" spans="2:7" x14ac:dyDescent="0.25">
      <c r="B179" t="str">
        <f>TEXT($B$173,0) &amp; " + 20 + bridge"</f>
        <v>Stem: 90x0  ----- Aluminium Aerobar + 20 + bridge</v>
      </c>
      <c r="C179">
        <f t="shared" si="35"/>
        <v>62</v>
      </c>
      <c r="D179">
        <f>$D$15+$D$20+25</f>
        <v>102</v>
      </c>
      <c r="E179">
        <v>25</v>
      </c>
      <c r="F179">
        <v>15</v>
      </c>
      <c r="G179" t="str">
        <f t="shared" si="33"/>
        <v xml:space="preserve">Aerobar Bolts: Top 25mm; Bottom 15mm </v>
      </c>
    </row>
    <row r="180" spans="2:7" x14ac:dyDescent="0.25">
      <c r="B180" t="str">
        <f>TEXT($B$173,0) &amp; " + 30"</f>
        <v>Stem: 90x0  ----- Aluminium Aerobar + 30</v>
      </c>
      <c r="C180">
        <f t="shared" si="35"/>
        <v>62</v>
      </c>
      <c r="D180">
        <f>$D$15+$D$20+30</f>
        <v>107</v>
      </c>
      <c r="E180">
        <v>25</v>
      </c>
      <c r="F180">
        <v>15</v>
      </c>
      <c r="G180" t="str">
        <f t="shared" si="33"/>
        <v xml:space="preserve">Aerobar Bolts: Top 25mm; Bottom 15mm </v>
      </c>
    </row>
    <row r="181" spans="2:7" x14ac:dyDescent="0.25">
      <c r="B181" t="str">
        <f>TEXT($B$173,0) &amp; " + 20 + bridge + 5"</f>
        <v>Stem: 90x0  ----- Aluminium Aerobar + 20 + bridge + 5</v>
      </c>
      <c r="C181">
        <f t="shared" si="35"/>
        <v>62</v>
      </c>
      <c r="D181">
        <f>$D$15+$D$20+30</f>
        <v>107</v>
      </c>
      <c r="E181">
        <v>25</v>
      </c>
      <c r="F181">
        <v>15</v>
      </c>
      <c r="G181" t="str">
        <f t="shared" si="33"/>
        <v xml:space="preserve">Aerobar Bolts: Top 25mm; Bottom 15mm </v>
      </c>
    </row>
    <row r="182" spans="2:7" x14ac:dyDescent="0.25">
      <c r="B182" t="str">
        <f>TEXT($B$173,0) &amp; " + 30 + bridge"</f>
        <v>Stem: 90x0  ----- Aluminium Aerobar + 30 + bridge</v>
      </c>
      <c r="C182">
        <f t="shared" si="35"/>
        <v>62</v>
      </c>
      <c r="D182">
        <f>$D$15+$D$20+35</f>
        <v>112</v>
      </c>
      <c r="E182">
        <v>30</v>
      </c>
      <c r="F182">
        <v>15</v>
      </c>
      <c r="G182" t="str">
        <f t="shared" si="33"/>
        <v xml:space="preserve">Aerobar Bolts: Top 30mm; Bottom 15mm </v>
      </c>
    </row>
    <row r="183" spans="2:7" x14ac:dyDescent="0.25">
      <c r="B183" t="str">
        <f>TEXT($B$173,0) &amp; " + 30 + bridge + 5"</f>
        <v>Stem: 90x0  ----- Aluminium Aerobar + 30 + bridge + 5</v>
      </c>
      <c r="C183">
        <f t="shared" si="35"/>
        <v>62</v>
      </c>
      <c r="D183">
        <f>$D$15+$D$20+40</f>
        <v>117</v>
      </c>
      <c r="E183">
        <v>30</v>
      </c>
      <c r="F183">
        <v>15</v>
      </c>
      <c r="G183" t="str">
        <f t="shared" si="33"/>
        <v xml:space="preserve">Aerobar Bolts: Top 30mm; Bottom 15mm </v>
      </c>
    </row>
    <row r="184" spans="2:7" x14ac:dyDescent="0.25">
      <c r="B184" t="str">
        <f>TEXT($B$173,0) &amp; " + 40 + bridge"</f>
        <v>Stem: 90x0  ----- Aluminium Aerobar + 40 + bridge</v>
      </c>
      <c r="C184">
        <f t="shared" si="35"/>
        <v>62</v>
      </c>
      <c r="D184">
        <f>$D$15+$D$20+45</f>
        <v>122</v>
      </c>
      <c r="E184">
        <v>35</v>
      </c>
      <c r="F184">
        <v>15</v>
      </c>
      <c r="G184" t="str">
        <f t="shared" si="33"/>
        <v xml:space="preserve">Aerobar Bolts: Top 35mm; Bottom 15mm </v>
      </c>
    </row>
    <row r="185" spans="2:7" x14ac:dyDescent="0.25">
      <c r="B185" t="str">
        <f>TEXT($B$173,0) &amp; " + 40 + bridge + 5"</f>
        <v>Stem: 90x0  ----- Aluminium Aerobar + 40 + bridge + 5</v>
      </c>
      <c r="C185">
        <f t="shared" si="35"/>
        <v>62</v>
      </c>
      <c r="D185">
        <f>$D$15+$D$20+50</f>
        <v>127</v>
      </c>
      <c r="E185">
        <v>35</v>
      </c>
      <c r="F185">
        <v>15</v>
      </c>
      <c r="G185" t="str">
        <f t="shared" si="33"/>
        <v xml:space="preserve">Aerobar Bolts: Top 35mm; Bottom 15mm </v>
      </c>
    </row>
    <row r="186" spans="2:7" x14ac:dyDescent="0.25">
      <c r="B186" t="str">
        <f>TEXT($B$173,0) &amp; " + 40 + bridge + 10"</f>
        <v>Stem: 90x0  ----- Aluminium Aerobar + 40 + bridge + 10</v>
      </c>
      <c r="C186">
        <f t="shared" si="35"/>
        <v>62</v>
      </c>
      <c r="D186">
        <f>$D$15+$D$20+55</f>
        <v>132</v>
      </c>
      <c r="E186">
        <v>35</v>
      </c>
      <c r="F186">
        <v>15</v>
      </c>
      <c r="G186" t="str">
        <f t="shared" si="33"/>
        <v xml:space="preserve">Aerobar Bolts: Top 35mm; Bottom 15mm </v>
      </c>
    </row>
    <row r="187" spans="2:7" x14ac:dyDescent="0.25">
      <c r="B187" t="str">
        <f>TEXT($B$173,0) &amp; " + 40 + bridge + 10 + 5"</f>
        <v>Stem: 90x0  ----- Aluminium Aerobar + 40 + bridge + 10 + 5</v>
      </c>
      <c r="C187">
        <f t="shared" si="35"/>
        <v>62</v>
      </c>
      <c r="D187">
        <f>$D$15+$D$20+60</f>
        <v>137</v>
      </c>
      <c r="E187">
        <v>35</v>
      </c>
      <c r="F187">
        <v>25</v>
      </c>
      <c r="G187" t="str">
        <f t="shared" si="33"/>
        <v xml:space="preserve">Aerobar Bolts: Top 35mm; Bottom 25mm </v>
      </c>
    </row>
    <row r="188" spans="2:7" x14ac:dyDescent="0.25">
      <c r="B188" t="str">
        <f>"Stem: "&amp;TEXT($B$16,0)&amp;" "&amp;" ----- "&amp;TEXT($B$20,0)</f>
        <v>Stem: 110x0  ----- Aluminium Aerobar</v>
      </c>
      <c r="C188">
        <f t="shared" ref="C188:C202" si="36">$C$16+$C$20</f>
        <v>82</v>
      </c>
      <c r="D188">
        <f>$D$16+$D$20</f>
        <v>77</v>
      </c>
      <c r="E188">
        <v>20</v>
      </c>
      <c r="F188" t="str">
        <f>F173</f>
        <v>N/A</v>
      </c>
      <c r="G188" t="str">
        <f t="shared" si="33"/>
        <v xml:space="preserve">Aerobar Bolts: Top 20mm; Bottom N/A </v>
      </c>
    </row>
    <row r="189" spans="2:7" x14ac:dyDescent="0.25">
      <c r="B189" t="str">
        <f>TEXT($B$188,0) &amp; " + 5"</f>
        <v>Stem: 110x0  ----- Aluminium Aerobar + 5</v>
      </c>
      <c r="C189">
        <f t="shared" si="36"/>
        <v>82</v>
      </c>
      <c r="D189">
        <f>$D$16+$D$20+5</f>
        <v>82</v>
      </c>
      <c r="E189">
        <v>25</v>
      </c>
      <c r="F189" t="s">
        <v>102</v>
      </c>
      <c r="G189" t="str">
        <f t="shared" si="33"/>
        <v xml:space="preserve">Aerobar Bolts: Top 25mm; Bottom N/A </v>
      </c>
    </row>
    <row r="190" spans="2:7" x14ac:dyDescent="0.25">
      <c r="B190" t="str">
        <f>TEXT($B$188,0) &amp; " + 10"</f>
        <v>Stem: 110x0  ----- Aluminium Aerobar + 10</v>
      </c>
      <c r="C190">
        <f t="shared" si="36"/>
        <v>82</v>
      </c>
      <c r="D190">
        <f>$D$16+$D$20+10</f>
        <v>87</v>
      </c>
      <c r="E190">
        <v>30</v>
      </c>
      <c r="F190" t="s">
        <v>102</v>
      </c>
      <c r="G190" t="str">
        <f t="shared" si="33"/>
        <v xml:space="preserve">Aerobar Bolts: Top 30mm; Bottom N/A </v>
      </c>
    </row>
    <row r="191" spans="2:7" x14ac:dyDescent="0.25">
      <c r="B191" t="str">
        <f>TEXT($B$188,0) &amp; " + 5 + 10"</f>
        <v>Stem: 110x0  ----- Aluminium Aerobar + 5 + 10</v>
      </c>
      <c r="C191">
        <f t="shared" si="36"/>
        <v>82</v>
      </c>
      <c r="D191">
        <f>$D$16+$D$20+16</f>
        <v>93</v>
      </c>
      <c r="E191">
        <v>35</v>
      </c>
      <c r="F191" t="s">
        <v>102</v>
      </c>
      <c r="G191" t="str">
        <f t="shared" si="33"/>
        <v xml:space="preserve">Aerobar Bolts: Top 35mm; Bottom N/A </v>
      </c>
    </row>
    <row r="192" spans="2:7" x14ac:dyDescent="0.25">
      <c r="B192" t="str">
        <f>TEXT($B$188,0) &amp; " + 20"</f>
        <v>Stem: 110x0  ----- Aluminium Aerobar + 20</v>
      </c>
      <c r="C192">
        <f t="shared" si="36"/>
        <v>82</v>
      </c>
      <c r="D192">
        <f>$D$16+$D$20+20</f>
        <v>97</v>
      </c>
      <c r="E192">
        <v>20</v>
      </c>
      <c r="F192">
        <v>15</v>
      </c>
      <c r="G192" t="str">
        <f t="shared" si="33"/>
        <v xml:space="preserve">Aerobar Bolts: Top 20mm; Bottom 15mm </v>
      </c>
    </row>
    <row r="193" spans="2:7" x14ac:dyDescent="0.25">
      <c r="B193" t="str">
        <f>TEXT($B$188,0) &amp; " + 20 + 5"</f>
        <v>Stem: 110x0  ----- Aluminium Aerobar + 20 + 5</v>
      </c>
      <c r="C193">
        <f t="shared" si="36"/>
        <v>82</v>
      </c>
      <c r="D193">
        <f>$D$16+$D$20+25</f>
        <v>102</v>
      </c>
      <c r="E193">
        <v>25</v>
      </c>
      <c r="F193">
        <v>15</v>
      </c>
      <c r="G193" t="str">
        <f t="shared" si="33"/>
        <v xml:space="preserve">Aerobar Bolts: Top 25mm; Bottom 15mm </v>
      </c>
    </row>
    <row r="194" spans="2:7" x14ac:dyDescent="0.25">
      <c r="B194" t="str">
        <f>TEXT($B$188,0) &amp; " + 20 + bridge"</f>
        <v>Stem: 110x0  ----- Aluminium Aerobar + 20 + bridge</v>
      </c>
      <c r="C194">
        <f t="shared" si="36"/>
        <v>82</v>
      </c>
      <c r="D194">
        <f>$D$16+$D$20+25</f>
        <v>102</v>
      </c>
      <c r="E194">
        <v>25</v>
      </c>
      <c r="F194">
        <v>15</v>
      </c>
      <c r="G194" t="str">
        <f t="shared" si="33"/>
        <v xml:space="preserve">Aerobar Bolts: Top 25mm; Bottom 15mm </v>
      </c>
    </row>
    <row r="195" spans="2:7" x14ac:dyDescent="0.25">
      <c r="B195" t="str">
        <f>TEXT($B$188,0) &amp; " + 30"</f>
        <v>Stem: 110x0  ----- Aluminium Aerobar + 30</v>
      </c>
      <c r="C195">
        <f t="shared" si="36"/>
        <v>82</v>
      </c>
      <c r="D195">
        <f>$D$16+$D$20+30</f>
        <v>107</v>
      </c>
      <c r="E195">
        <v>25</v>
      </c>
      <c r="F195">
        <v>15</v>
      </c>
      <c r="G195" t="str">
        <f t="shared" si="33"/>
        <v xml:space="preserve">Aerobar Bolts: Top 25mm; Bottom 15mm </v>
      </c>
    </row>
    <row r="196" spans="2:7" x14ac:dyDescent="0.25">
      <c r="B196" t="str">
        <f>TEXT($B$188,0) &amp; " + 20 + bridge + 5"</f>
        <v>Stem: 110x0  ----- Aluminium Aerobar + 20 + bridge + 5</v>
      </c>
      <c r="C196">
        <f t="shared" si="36"/>
        <v>82</v>
      </c>
      <c r="D196">
        <f>$D$16+$D$20+30</f>
        <v>107</v>
      </c>
      <c r="E196">
        <v>25</v>
      </c>
      <c r="F196">
        <v>15</v>
      </c>
      <c r="G196" t="str">
        <f t="shared" si="33"/>
        <v xml:space="preserve">Aerobar Bolts: Top 25mm; Bottom 15mm </v>
      </c>
    </row>
    <row r="197" spans="2:7" x14ac:dyDescent="0.25">
      <c r="B197" t="str">
        <f>TEXT($B$188,0) &amp; " + 30 + bridge"</f>
        <v>Stem: 110x0  ----- Aluminium Aerobar + 30 + bridge</v>
      </c>
      <c r="C197">
        <f t="shared" si="36"/>
        <v>82</v>
      </c>
      <c r="D197">
        <f>$D$16+$D$20+35</f>
        <v>112</v>
      </c>
      <c r="E197">
        <v>30</v>
      </c>
      <c r="F197">
        <v>15</v>
      </c>
      <c r="G197" t="str">
        <f t="shared" si="33"/>
        <v xml:space="preserve">Aerobar Bolts: Top 30mm; Bottom 15mm </v>
      </c>
    </row>
    <row r="198" spans="2:7" x14ac:dyDescent="0.25">
      <c r="B198" t="str">
        <f>TEXT($B$188,0) &amp; " + 30 + bridge + 5"</f>
        <v>Stem: 110x0  ----- Aluminium Aerobar + 30 + bridge + 5</v>
      </c>
      <c r="C198">
        <f t="shared" si="36"/>
        <v>82</v>
      </c>
      <c r="D198">
        <f>$D$16+$D$20+40</f>
        <v>117</v>
      </c>
      <c r="E198">
        <v>30</v>
      </c>
      <c r="F198">
        <v>15</v>
      </c>
      <c r="G198" t="str">
        <f t="shared" si="33"/>
        <v xml:space="preserve">Aerobar Bolts: Top 30mm; Bottom 15mm </v>
      </c>
    </row>
    <row r="199" spans="2:7" x14ac:dyDescent="0.25">
      <c r="B199" t="str">
        <f>TEXT($B$188,0) &amp; " + 40 + bridge"</f>
        <v>Stem: 110x0  ----- Aluminium Aerobar + 40 + bridge</v>
      </c>
      <c r="C199">
        <f t="shared" si="36"/>
        <v>82</v>
      </c>
      <c r="D199">
        <f>$D$16+$D$20+45</f>
        <v>122</v>
      </c>
      <c r="E199">
        <v>35</v>
      </c>
      <c r="F199">
        <v>15</v>
      </c>
      <c r="G199" t="str">
        <f t="shared" si="33"/>
        <v xml:space="preserve">Aerobar Bolts: Top 35mm; Bottom 15mm </v>
      </c>
    </row>
    <row r="200" spans="2:7" x14ac:dyDescent="0.25">
      <c r="B200" t="str">
        <f>TEXT($B$188,0) &amp; " + 40 + bridge + 5"</f>
        <v>Stem: 110x0  ----- Aluminium Aerobar + 40 + bridge + 5</v>
      </c>
      <c r="C200">
        <f t="shared" si="36"/>
        <v>82</v>
      </c>
      <c r="D200">
        <f>$D$16+$D$20+50</f>
        <v>127</v>
      </c>
      <c r="E200">
        <v>35</v>
      </c>
      <c r="F200">
        <v>15</v>
      </c>
      <c r="G200" t="str">
        <f t="shared" si="33"/>
        <v xml:space="preserve">Aerobar Bolts: Top 35mm; Bottom 15mm </v>
      </c>
    </row>
    <row r="201" spans="2:7" x14ac:dyDescent="0.25">
      <c r="B201" t="str">
        <f>TEXT($B$188,0) &amp; " + 40 + bridge + 10"</f>
        <v>Stem: 110x0  ----- Aluminium Aerobar + 40 + bridge + 10</v>
      </c>
      <c r="C201">
        <f t="shared" si="36"/>
        <v>82</v>
      </c>
      <c r="D201">
        <f>$D$16+$D$20+55</f>
        <v>132</v>
      </c>
      <c r="E201">
        <v>35</v>
      </c>
      <c r="F201">
        <v>15</v>
      </c>
      <c r="G201" t="str">
        <f t="shared" si="33"/>
        <v xml:space="preserve">Aerobar Bolts: Top 35mm; Bottom 15mm </v>
      </c>
    </row>
    <row r="202" spans="2:7" x14ac:dyDescent="0.25">
      <c r="B202" t="str">
        <f>TEXT($B$188,0) &amp; " + 40 + bridge + 10 + 5"</f>
        <v>Stem: 110x0  ----- Aluminium Aerobar + 40 + bridge + 10 + 5</v>
      </c>
      <c r="C202">
        <f t="shared" si="36"/>
        <v>82</v>
      </c>
      <c r="D202">
        <f>$D$16+$D$20+60</f>
        <v>137</v>
      </c>
      <c r="E202">
        <v>35</v>
      </c>
      <c r="F202">
        <v>25</v>
      </c>
      <c r="G202" t="str">
        <f t="shared" si="33"/>
        <v xml:space="preserve">Aerobar Bolts: Top 35mm; Bottom 25mm 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/>
  </sheetPr>
  <dimension ref="C3:AH382"/>
  <sheetViews>
    <sheetView zoomScale="70" zoomScaleNormal="70" workbookViewId="0">
      <selection activeCell="L31" sqref="L31"/>
    </sheetView>
  </sheetViews>
  <sheetFormatPr defaultRowHeight="15" x14ac:dyDescent="0.25"/>
  <cols>
    <col min="4" max="4" width="78.28515625" bestFit="1" customWidth="1"/>
    <col min="5" max="5" width="13.28515625" customWidth="1"/>
    <col min="6" max="6" width="7.28515625" customWidth="1"/>
    <col min="7" max="7" width="5.85546875" customWidth="1"/>
    <col min="8" max="8" width="13" customWidth="1"/>
    <col min="9" max="9" width="12.5703125" customWidth="1"/>
    <col min="10" max="10" width="62" bestFit="1" customWidth="1"/>
    <col min="11" max="11" width="14.7109375" bestFit="1" customWidth="1"/>
    <col min="12" max="12" width="69.140625" bestFit="1" customWidth="1"/>
    <col min="13" max="13" width="63.5703125" bestFit="1" customWidth="1"/>
    <col min="14" max="14" width="77.7109375" bestFit="1" customWidth="1"/>
    <col min="15" max="15" width="79.5703125" bestFit="1" customWidth="1"/>
    <col min="16" max="16" width="81.42578125" bestFit="1" customWidth="1"/>
    <col min="17" max="17" width="82.42578125" bestFit="1" customWidth="1"/>
    <col min="18" max="18" width="4.5703125" customWidth="1"/>
    <col min="20" max="20" width="18.5703125" bestFit="1" customWidth="1"/>
    <col min="21" max="21" width="11.85546875" customWidth="1"/>
    <col min="23" max="23" width="10.7109375" customWidth="1"/>
    <col min="26" max="26" width="17.5703125" customWidth="1"/>
    <col min="29" max="29" width="12.42578125" customWidth="1"/>
    <col min="31" max="31" width="10.7109375" customWidth="1"/>
    <col min="32" max="32" width="14.28515625" customWidth="1"/>
  </cols>
  <sheetData>
    <row r="3" spans="3:34" x14ac:dyDescent="0.25">
      <c r="E3" t="s">
        <v>2</v>
      </c>
      <c r="F3" t="s">
        <v>1</v>
      </c>
      <c r="H3" t="s">
        <v>43</v>
      </c>
      <c r="I3" t="s">
        <v>53</v>
      </c>
      <c r="T3" t="s">
        <v>20</v>
      </c>
    </row>
    <row r="4" spans="3:34" x14ac:dyDescent="0.25">
      <c r="D4" t="s">
        <v>13</v>
      </c>
      <c r="E4">
        <f>Input!C12</f>
        <v>470</v>
      </c>
      <c r="F4">
        <f>Input!E12</f>
        <v>590</v>
      </c>
      <c r="H4">
        <f>Input!G12</f>
        <v>720</v>
      </c>
      <c r="I4" t="e">
        <f>Input!#REF!</f>
        <v>#REF!</v>
      </c>
      <c r="T4" t="s">
        <v>35</v>
      </c>
      <c r="U4" t="s">
        <v>21</v>
      </c>
      <c r="V4" t="s">
        <v>22</v>
      </c>
      <c r="W4" t="s">
        <v>21</v>
      </c>
      <c r="X4" t="s">
        <v>22</v>
      </c>
      <c r="Z4" t="s">
        <v>40</v>
      </c>
      <c r="AA4" t="s">
        <v>42</v>
      </c>
      <c r="AB4" t="s">
        <v>41</v>
      </c>
      <c r="AC4" t="s">
        <v>44</v>
      </c>
      <c r="AE4" t="s">
        <v>54</v>
      </c>
      <c r="AF4" t="s">
        <v>42</v>
      </c>
      <c r="AG4" t="s">
        <v>41</v>
      </c>
      <c r="AH4" t="s">
        <v>44</v>
      </c>
    </row>
    <row r="5" spans="3:34" x14ac:dyDescent="0.25">
      <c r="D5" t="s">
        <v>14</v>
      </c>
      <c r="E5">
        <f xml:space="preserve"> ROUND(E4/5,0)*5</f>
        <v>470</v>
      </c>
      <c r="F5">
        <f xml:space="preserve"> ROUND(F4/5,0)*5</f>
        <v>590</v>
      </c>
      <c r="T5" t="s">
        <v>3</v>
      </c>
      <c r="U5">
        <f>'Data - IA'!T21</f>
        <v>395</v>
      </c>
      <c r="V5">
        <f>'Data - IA'!T27</f>
        <v>475</v>
      </c>
      <c r="W5">
        <f>IF($E$5&gt;=U5,1,0)</f>
        <v>1</v>
      </c>
      <c r="X5">
        <f>IF($E$5&lt;=V5,1,0)</f>
        <v>1</v>
      </c>
      <c r="Z5" t="s">
        <v>3</v>
      </c>
      <c r="AA5">
        <f>'Data - IA'!J4</f>
        <v>568</v>
      </c>
      <c r="AB5">
        <f>'Data - IA'!K4</f>
        <v>763</v>
      </c>
      <c r="AC5">
        <f>IF(AND(AA5&lt;=$H$4,AB5&gt;=$H$4),1,0)</f>
        <v>1</v>
      </c>
      <c r="AE5" t="s">
        <v>3</v>
      </c>
      <c r="AF5">
        <f>SIN(RADIANS(90-'Data - IA'!$O5))*$H$4-'Data - IA'!O$13</f>
        <v>11.209578354346178</v>
      </c>
      <c r="AG5">
        <f>SIN(RADIANS(90-'Data - IA'!$O5))*$H$4-'Data - IA'!P$13</f>
        <v>-28.790421645653822</v>
      </c>
      <c r="AH5" t="e">
        <f>IF(AND($I$4&lt;=AF5,$I$4&gt;=AG5),1,0)</f>
        <v>#REF!</v>
      </c>
    </row>
    <row r="6" spans="3:34" x14ac:dyDescent="0.25">
      <c r="O6" s="1" t="s">
        <v>24</v>
      </c>
      <c r="T6" t="s">
        <v>4</v>
      </c>
      <c r="U6">
        <f>'Data - IA'!T22</f>
        <v>405</v>
      </c>
      <c r="V6">
        <f>'Data - IA'!T28</f>
        <v>485</v>
      </c>
      <c r="W6">
        <f>IF($E$5&gt;=U6,1,0)</f>
        <v>1</v>
      </c>
      <c r="X6">
        <f>IF($E$5&lt;=V6,1,0)</f>
        <v>1</v>
      </c>
      <c r="Z6" t="s">
        <v>4</v>
      </c>
      <c r="AA6">
        <f>'Data - IA'!J5</f>
        <v>596</v>
      </c>
      <c r="AB6">
        <f>'Data - IA'!K5</f>
        <v>791</v>
      </c>
      <c r="AC6">
        <f>IF(AND(AA6&lt;=$H$4,AB6&gt;=$H$4),1,0)</f>
        <v>1</v>
      </c>
      <c r="AE6" t="s">
        <v>4</v>
      </c>
      <c r="AF6">
        <f>SIN(RADIANS(90-'Data - IA'!$O6))*$H$4-'Data - IA'!O$13</f>
        <v>17.382476671112272</v>
      </c>
      <c r="AG6">
        <f>SIN(RADIANS(90-'Data - IA'!$O6))*$H$4-'Data - IA'!P$13</f>
        <v>-22.617523328887728</v>
      </c>
      <c r="AH6" t="e">
        <f>IF(AND($I$4&lt;=AF6,$I$4&gt;=AG6),1,0)</f>
        <v>#REF!</v>
      </c>
    </row>
    <row r="7" spans="3:34" x14ac:dyDescent="0.25">
      <c r="E7" t="s">
        <v>19</v>
      </c>
      <c r="F7">
        <v>30</v>
      </c>
      <c r="G7">
        <v>40</v>
      </c>
      <c r="H7" t="s">
        <v>31</v>
      </c>
      <c r="I7" t="s">
        <v>45</v>
      </c>
      <c r="K7" t="s">
        <v>58</v>
      </c>
      <c r="L7" s="1" t="s">
        <v>23</v>
      </c>
      <c r="M7" s="1" t="s">
        <v>59</v>
      </c>
      <c r="N7" s="1" t="s">
        <v>30</v>
      </c>
      <c r="O7" s="1" t="s">
        <v>25</v>
      </c>
      <c r="P7" s="1" t="s">
        <v>26</v>
      </c>
      <c r="Q7" s="1" t="s">
        <v>27</v>
      </c>
      <c r="T7" t="s">
        <v>5</v>
      </c>
      <c r="U7">
        <f>'Data - IA'!T23</f>
        <v>420</v>
      </c>
      <c r="V7">
        <f>'Data - IA'!T29</f>
        <v>500</v>
      </c>
      <c r="W7">
        <f>IF($E$5&gt;=U7,1,0)</f>
        <v>1</v>
      </c>
      <c r="X7">
        <f>IF($E$5&lt;=V7,1,0)</f>
        <v>1</v>
      </c>
      <c r="Z7" t="s">
        <v>5</v>
      </c>
      <c r="AA7">
        <f>'Data - IA'!J6</f>
        <v>615</v>
      </c>
      <c r="AB7">
        <f>'Data - IA'!K6</f>
        <v>810</v>
      </c>
      <c r="AC7">
        <f>IF(AND(AA7&lt;=$H$4,AB7&gt;=$H$4),1,0)</f>
        <v>1</v>
      </c>
      <c r="AE7" t="s">
        <v>5</v>
      </c>
      <c r="AF7">
        <f>SIN(RADIANS(90-'Data - IA'!$O7))*$H$4-'Data - IA'!O$13</f>
        <v>23.544912780381964</v>
      </c>
      <c r="AG7">
        <f>SIN(RADIANS(90-'Data - IA'!$O7))*$H$4-'Data - IA'!P$13</f>
        <v>-16.455087219618036</v>
      </c>
      <c r="AH7" t="e">
        <f>IF(AND($I$4&lt;=AF7,$I$4&gt;=AG7),1,0)</f>
        <v>#REF!</v>
      </c>
    </row>
    <row r="8" spans="3:34" x14ac:dyDescent="0.25">
      <c r="C8" s="6">
        <f>'IA - XL'!D9</f>
        <v>0</v>
      </c>
      <c r="D8" s="6" t="str">
        <f>'IA - XL'!B9</f>
        <v>Frame: 58 ----- Stem: Integrated ----- Aerobar:</v>
      </c>
      <c r="E8" s="6">
        <f>$W$9*$X$9</f>
        <v>1</v>
      </c>
      <c r="F8" s="6" t="str">
        <f>IF(ISNUMBER(FIND("30",D8)),1,"")</f>
        <v/>
      </c>
      <c r="G8" s="6" t="str">
        <f>IF(ISNUMBER(FIND("40",D8)),1,"")</f>
        <v/>
      </c>
      <c r="H8" s="6">
        <f t="shared" ref="H8:H52" si="0">$E$4-$U$24</f>
        <v>-22</v>
      </c>
      <c r="I8" s="6">
        <f t="shared" ref="I8:I52" si="1">$AC$9</f>
        <v>1</v>
      </c>
      <c r="J8" s="6" t="str">
        <f>'IA - XL'!G9</f>
        <v xml:space="preserve">Stem Bolts: 25mm -----  Aerobar Bolts: Top N/A; Bottom N/A </v>
      </c>
      <c r="K8" s="6">
        <v>1</v>
      </c>
      <c r="L8" t="str">
        <f t="array" ref="L8">INDEX($C$8:$D$382, SMALL(IF($C$8:$C$382=$F$5, ROW($C$8:$C$382)-MIN(ROW($C$8:$C$382))+1), ROW(1:1)),2)</f>
        <v>Frame: 51 ----- Stem: Integrated ----- Aerobar:+ 5 + 10</v>
      </c>
      <c r="M8" t="str">
        <f>IFERROR(IF(AND(VLOOKUP(L8,$D$8:$K$382,2,FALSE)=1,VLOOKUP(L8,$D$8:$K$382,6,FALSE)=1,VLOOKUP(L8,$D$8:$K$382,8,FALSE)=1),L8,""),"")</f>
        <v>Frame: 51 ----- Stem: Integrated ----- Aerobar:+ 5 + 10</v>
      </c>
      <c r="N8" t="str">
        <f>IF(M8="","",TEXT(M8,0)&amp;"  with reach:"&amp;IFERROR(VLOOKUP(M8,$D$8:$H$382,5,FALSE),""))</f>
        <v>Frame: 51 ----- Stem: Integrated ----- Aerobar:+ 5 + 10  with reach:36</v>
      </c>
      <c r="O8" t="str">
        <f>IFERROR(IF(AND(VLOOKUP(M8,$D$8:$G$382,3,FALSE)="",VLOOKUP(M8,$D$8:$G$382,4,FALSE)=""),M8,""),"")</f>
        <v>Frame: 51 ----- Stem: Integrated ----- Aerobar:+ 5 + 10</v>
      </c>
      <c r="P8" t="str">
        <f>IFERROR(IF(AND(VLOOKUP(M8,$D$8:$G$382,3,FALSE)=1,VLOOKUP(M8,$D$8:$G$382,4,FALSE)=""),M8,""),"")</f>
        <v/>
      </c>
      <c r="Q8" t="str">
        <f>IFERROR(IF(VLOOKUP(M8,$D$8:$G$382,4,FALSE)=1,M8,""),"")</f>
        <v/>
      </c>
      <c r="T8" t="s">
        <v>6</v>
      </c>
      <c r="U8">
        <f>'Data - IA'!T24</f>
        <v>440</v>
      </c>
      <c r="V8">
        <f>'Data - IA'!T30</f>
        <v>520</v>
      </c>
      <c r="W8">
        <f>IF($E$5&gt;=U8,1,0)</f>
        <v>1</v>
      </c>
      <c r="X8">
        <f>IF($E$5&lt;=V8,1,0)</f>
        <v>1</v>
      </c>
      <c r="Z8" t="s">
        <v>6</v>
      </c>
      <c r="AA8">
        <f>'Data - IA'!J7</f>
        <v>639</v>
      </c>
      <c r="AB8">
        <f>'Data - IA'!K7</f>
        <v>834</v>
      </c>
      <c r="AC8">
        <f>IF(AND(AA8&lt;=$H$4,AB8&gt;=$H$4),1,0)</f>
        <v>1</v>
      </c>
      <c r="AE8" t="s">
        <v>6</v>
      </c>
      <c r="AF8">
        <f>SIN(RADIANS(90-'Data - IA'!$O8))*$H$4-'Data - IA'!O$13</f>
        <v>29.696417388786728</v>
      </c>
      <c r="AG8">
        <f>SIN(RADIANS(90-'Data - IA'!$O8))*$H$4-'Data - IA'!P$13</f>
        <v>-10.303582611213272</v>
      </c>
      <c r="AH8" t="e">
        <f>IF(AND($I$4&lt;=AF8,$I$4&gt;=AG8),1,0)</f>
        <v>#REF!</v>
      </c>
    </row>
    <row r="9" spans="3:34" x14ac:dyDescent="0.25">
      <c r="C9" s="6">
        <f>'IA - XL'!D10</f>
        <v>645</v>
      </c>
      <c r="D9" s="6" t="str">
        <f>'IA - XL'!B10</f>
        <v>Frame: 58 ----- Stem: Integrated ----- Aerobar:+ 5</v>
      </c>
      <c r="E9" s="6">
        <f t="shared" ref="E9:E52" si="2">$W$9*$X$9</f>
        <v>1</v>
      </c>
      <c r="F9" s="6" t="str">
        <f t="shared" ref="F9:F72" si="3">IF(ISNUMBER(FIND("30",D9)),1,"")</f>
        <v/>
      </c>
      <c r="G9" s="6" t="str">
        <f t="shared" ref="G9:G73" si="4">IF(ISNUMBER(FIND("40",D9)),1,"")</f>
        <v/>
      </c>
      <c r="H9" s="6">
        <f t="shared" si="0"/>
        <v>-22</v>
      </c>
      <c r="I9" s="6">
        <f t="shared" si="1"/>
        <v>1</v>
      </c>
      <c r="J9" s="6" t="str">
        <f>'IA - XL'!G10</f>
        <v xml:space="preserve">Stem Bolts: 25mm -----  Aerobar Bolts: Top 45mm; Bottom N/A </v>
      </c>
      <c r="K9" s="6">
        <v>1</v>
      </c>
      <c r="L9" t="str">
        <f t="array" ref="L9">INDEX($C$8:$D$382, SMALL(IF($C$8:$C$382=$F$5, ROW($C$8:$C$382)-MIN(ROW($C$8:$C$382))+1), ROW(2:2)),2)</f>
        <v>Frame: 48 ----- Stem: Integrated ----- Aerobar:+ 40 + bridge</v>
      </c>
      <c r="M9" t="str">
        <f t="shared" ref="M9:M29" si="5">IFERROR(IF(AND(VLOOKUP(L9,$D$8:$K$382,2,FALSE)=1,VLOOKUP(L9,$D$8:$K$382,6,FALSE)=1,VLOOKUP(L9,$D$8:$K$382,8,FALSE)=1),L9,""),"")</f>
        <v>Frame: 48 ----- Stem: Integrated ----- Aerobar:+ 40 + bridge</v>
      </c>
      <c r="N9" t="str">
        <f t="shared" ref="N9:N29" si="6">IF(M9="","",TEXT(M9,0)&amp;"  with reach:"&amp;IFERROR(VLOOKUP(M9,$D$8:$H$382,5,FALSE),""))</f>
        <v>Frame: 48 ----- Stem: Integrated ----- Aerobar:+ 40 + bridge  with reach:44</v>
      </c>
      <c r="O9" t="str">
        <f t="shared" ref="O9:O29" si="7">IFERROR(IF(AND(VLOOKUP(M9,$D$8:$G$382,3,FALSE)="",VLOOKUP(M9,$D$8:$G$382,4,FALSE)=""),M9,""),"")</f>
        <v/>
      </c>
      <c r="P9" t="str">
        <f t="shared" ref="P9:P29" si="8">IFERROR(IF(AND(VLOOKUP(M9,$D$8:$G$382,3,FALSE)=1,VLOOKUP(M9,$D$8:$G$382,4,FALSE)=""),M9,""),"")</f>
        <v/>
      </c>
      <c r="Q9" t="str">
        <f t="shared" ref="Q9:Q29" si="9">IFERROR(IF(VLOOKUP(M9,$D$8:$G$382,4,FALSE)=1,M9,""),"")</f>
        <v>Frame: 48 ----- Stem: Integrated ----- Aerobar:+ 40 + bridge</v>
      </c>
      <c r="T9" t="s">
        <v>7</v>
      </c>
      <c r="U9">
        <f>'Data - IA'!T25</f>
        <v>460</v>
      </c>
      <c r="V9">
        <f>'Data - IA'!T31</f>
        <v>540</v>
      </c>
      <c r="W9">
        <f>IF($E$5&gt;=U9,1,0)</f>
        <v>1</v>
      </c>
      <c r="X9">
        <f>IF($E$5&lt;=V9,1,0)</f>
        <v>1</v>
      </c>
      <c r="Z9" t="s">
        <v>7</v>
      </c>
      <c r="AA9">
        <f>'Data - IA'!J8</f>
        <v>664</v>
      </c>
      <c r="AB9">
        <f>'Data - IA'!K8</f>
        <v>859</v>
      </c>
      <c r="AC9">
        <f>IF(AND(AA9&lt;=$H$4,AB9&gt;=$H$4),1,0)</f>
        <v>1</v>
      </c>
      <c r="AE9" t="s">
        <v>7</v>
      </c>
      <c r="AF9">
        <f>SIN(RADIANS(90-'Data - IA'!$O9))*$H$4-'Data - IA'!O$13</f>
        <v>35.836522035434058</v>
      </c>
      <c r="AG9">
        <f>SIN(RADIANS(90-'Data - IA'!$O9))*$H$4-'Data - IA'!P$13</f>
        <v>-4.1634779645659421</v>
      </c>
      <c r="AH9" t="e">
        <f>IF(AND($I$4&lt;=AF9,$I$4&gt;=AG9),1,0)</f>
        <v>#REF!</v>
      </c>
    </row>
    <row r="10" spans="3:34" x14ac:dyDescent="0.25">
      <c r="C10" s="6">
        <f>'IA - XL'!D11</f>
        <v>650</v>
      </c>
      <c r="D10" s="6" t="str">
        <f>'IA - XL'!B11</f>
        <v>Frame: 58 ----- Stem: Integrated ----- Aerobar:+ 10</v>
      </c>
      <c r="E10" s="6">
        <f t="shared" si="2"/>
        <v>1</v>
      </c>
      <c r="F10" s="6" t="str">
        <f t="shared" si="3"/>
        <v/>
      </c>
      <c r="G10" s="6" t="str">
        <f t="shared" si="4"/>
        <v/>
      </c>
      <c r="H10" s="6">
        <f t="shared" si="0"/>
        <v>-22</v>
      </c>
      <c r="I10" s="6">
        <f t="shared" si="1"/>
        <v>1</v>
      </c>
      <c r="J10" s="6" t="str">
        <f>'IA - XL'!G11</f>
        <v xml:space="preserve">Stem Bolts: 25mm -----  Aerobar Bolts: Top 50mm; Bottom N/A </v>
      </c>
      <c r="K10" s="6">
        <v>1</v>
      </c>
      <c r="L10" t="str">
        <f t="array" ref="L10">INDEX($C$8:$D$382, SMALL(IF($C$8:$C$382=$F$5, ROW($C$8:$C$382)-MIN(ROW($C$8:$C$382))+1), ROW(3:3)),2)</f>
        <v>Frame: 48 ----- Stem: Integrated w/15 ----- Aerobar: + 30</v>
      </c>
      <c r="M10" t="str">
        <f t="shared" si="5"/>
        <v>Frame: 48 ----- Stem: Integrated w/15 ----- Aerobar: + 30</v>
      </c>
      <c r="N10" t="str">
        <f t="shared" si="6"/>
        <v>Frame: 48 ----- Stem: Integrated w/15 ----- Aerobar: + 30  with reach:44</v>
      </c>
      <c r="O10" t="str">
        <f t="shared" si="7"/>
        <v/>
      </c>
      <c r="P10" t="str">
        <f t="shared" si="8"/>
        <v>Frame: 48 ----- Stem: Integrated w/15 ----- Aerobar: + 30</v>
      </c>
      <c r="Q10" t="str">
        <f t="shared" si="9"/>
        <v/>
      </c>
    </row>
    <row r="11" spans="3:34" x14ac:dyDescent="0.25">
      <c r="C11" s="6">
        <f>'IA - XL'!D12</f>
        <v>655</v>
      </c>
      <c r="D11" s="6" t="str">
        <f>'IA - XL'!B12</f>
        <v>Frame: 58 ----- Stem: Integrated ----- Aerobar:+ 5 + 10</v>
      </c>
      <c r="E11" s="6">
        <f t="shared" si="2"/>
        <v>1</v>
      </c>
      <c r="F11" s="6" t="str">
        <f t="shared" si="3"/>
        <v/>
      </c>
      <c r="G11" s="6" t="str">
        <f t="shared" si="4"/>
        <v/>
      </c>
      <c r="H11" s="6">
        <f t="shared" si="0"/>
        <v>-22</v>
      </c>
      <c r="I11" s="6">
        <f t="shared" si="1"/>
        <v>1</v>
      </c>
      <c r="J11" s="6" t="str">
        <f>'IA - XL'!G12</f>
        <v xml:space="preserve">Stem Bolts: 25mm -----  Aerobar Bolts: Top 55mm; Bottom N/A </v>
      </c>
      <c r="K11" s="6">
        <v>1</v>
      </c>
      <c r="L11" t="str">
        <f t="array" ref="L11">INDEX($C$8:$D$382, SMALL(IF($C$8:$C$382=$F$5, ROW($C$8:$C$382)-MIN(ROW($C$8:$C$382))+1), ROW(4:4)),2)</f>
        <v>Frame: 48 ----- Stem: Integrated w/15 ----- Aerobar: + 20 + bridge + 5</v>
      </c>
      <c r="M11" t="str">
        <f t="shared" si="5"/>
        <v>Frame: 48 ----- Stem: Integrated w/15 ----- Aerobar: + 20 + bridge + 5</v>
      </c>
      <c r="N11" t="str">
        <f t="shared" si="6"/>
        <v>Frame: 48 ----- Stem: Integrated w/15 ----- Aerobar: + 20 + bridge + 5  with reach:44</v>
      </c>
      <c r="O11" t="str">
        <f t="shared" si="7"/>
        <v>Frame: 48 ----- Stem: Integrated w/15 ----- Aerobar: + 20 + bridge + 5</v>
      </c>
      <c r="P11" t="str">
        <f t="shared" si="8"/>
        <v/>
      </c>
      <c r="Q11" t="str">
        <f t="shared" si="9"/>
        <v/>
      </c>
      <c r="T11" t="s">
        <v>29</v>
      </c>
      <c r="U11" t="s">
        <v>21</v>
      </c>
      <c r="V11" t="s">
        <v>22</v>
      </c>
      <c r="W11" t="s">
        <v>21</v>
      </c>
      <c r="X11" t="s">
        <v>22</v>
      </c>
    </row>
    <row r="12" spans="3:34" x14ac:dyDescent="0.25">
      <c r="C12" s="6">
        <f>'IA - XL'!D13</f>
        <v>660</v>
      </c>
      <c r="D12" s="6" t="str">
        <f>'IA - XL'!B13</f>
        <v>Frame: 58 ----- Stem: Integrated ----- Aerobar:+ 20</v>
      </c>
      <c r="E12" s="6">
        <f t="shared" si="2"/>
        <v>1</v>
      </c>
      <c r="F12" s="6" t="str">
        <f t="shared" si="3"/>
        <v/>
      </c>
      <c r="G12" s="6" t="str">
        <f t="shared" si="4"/>
        <v/>
      </c>
      <c r="H12" s="6">
        <f t="shared" si="0"/>
        <v>-22</v>
      </c>
      <c r="I12" s="6">
        <f t="shared" si="1"/>
        <v>1</v>
      </c>
      <c r="J12" s="6" t="str">
        <f>'IA - XL'!G13</f>
        <v xml:space="preserve">Stem Bolts: 25mm -----  Aerobar Bolts: Top 20mm; Bottom 30mm </v>
      </c>
      <c r="K12" s="6">
        <v>1</v>
      </c>
      <c r="L12" t="str">
        <f t="array" ref="L12">INDEX($C$8:$D$382, SMALL(IF($C$8:$C$382=$F$5, ROW($C$8:$C$382)-MIN(ROW($C$8:$C$382))+1), ROW(5:5)),2)</f>
        <v>Frame: 48 ----- Stem: Integrated w/30 ----- Aerobar: + 5 + 10</v>
      </c>
      <c r="M12" t="str">
        <f t="shared" si="5"/>
        <v>Frame: 48 ----- Stem: Integrated w/30 ----- Aerobar: + 5 + 10</v>
      </c>
      <c r="N12" t="str">
        <f t="shared" si="6"/>
        <v>Frame: 48 ----- Stem: Integrated w/30 ----- Aerobar: + 5 + 10  with reach:44</v>
      </c>
      <c r="O12" t="str">
        <f t="shared" si="7"/>
        <v/>
      </c>
      <c r="P12" t="str">
        <f t="shared" si="8"/>
        <v>Frame: 48 ----- Stem: Integrated w/30 ----- Aerobar: + 5 + 10</v>
      </c>
      <c r="Q12" t="str">
        <f t="shared" si="9"/>
        <v/>
      </c>
      <c r="T12" t="s">
        <v>3</v>
      </c>
      <c r="U12">
        <f>'Data - IA'!U21</f>
        <v>440</v>
      </c>
      <c r="V12">
        <f>'Data - IA'!U27</f>
        <v>520</v>
      </c>
      <c r="W12">
        <f>IF($E$5&gt;=U12,1,0)</f>
        <v>1</v>
      </c>
      <c r="X12">
        <f>IF($E$5&lt;=V12,1,0)</f>
        <v>1</v>
      </c>
    </row>
    <row r="13" spans="3:34" x14ac:dyDescent="0.25">
      <c r="C13" s="6">
        <f>'IA - XL'!D14</f>
        <v>665</v>
      </c>
      <c r="D13" s="6" t="str">
        <f>'IA - XL'!B14</f>
        <v>Frame: 58 ----- Stem: Integrated ----- Aerobar:+ 20 + 5</v>
      </c>
      <c r="E13" s="6">
        <f t="shared" si="2"/>
        <v>1</v>
      </c>
      <c r="F13" s="6" t="str">
        <f t="shared" si="3"/>
        <v/>
      </c>
      <c r="G13" s="6" t="str">
        <f t="shared" si="4"/>
        <v/>
      </c>
      <c r="H13" s="6">
        <f t="shared" si="0"/>
        <v>-22</v>
      </c>
      <c r="I13" s="6">
        <f t="shared" si="1"/>
        <v>1</v>
      </c>
      <c r="J13" s="6" t="str">
        <f>'IA - XL'!G14</f>
        <v xml:space="preserve">Stem Bolts: 25mm -----  Aerobar Bolts: Top 25mm; Bottom 30mm </v>
      </c>
      <c r="K13" s="6">
        <v>1</v>
      </c>
      <c r="L13" t="str">
        <f t="array" ref="L13">INDEX($C$8:$D$382, SMALL(IF($C$8:$C$382=$F$5, ROW($C$8:$C$382)-MIN(ROW($C$8:$C$382))+1), ROW(6:6)),2)</f>
        <v>Frame: 54 ----- Stem: 31.8 ----- Carbon Aerobar: + 10</v>
      </c>
      <c r="M13" t="str">
        <f t="shared" si="5"/>
        <v>Frame: 54 ----- Stem: 31.8 ----- Carbon Aerobar: + 10</v>
      </c>
      <c r="N13" t="str">
        <f t="shared" si="6"/>
        <v>Frame: 54 ----- Stem: 31.8 ----- Carbon Aerobar: + 10  with reach:-25</v>
      </c>
      <c r="O13" t="str">
        <f t="shared" si="7"/>
        <v>Frame: 54 ----- Stem: 31.8 ----- Carbon Aerobar: + 10</v>
      </c>
      <c r="P13" t="str">
        <f t="shared" si="8"/>
        <v/>
      </c>
      <c r="Q13" t="str">
        <f t="shared" si="9"/>
        <v/>
      </c>
      <c r="T13" t="s">
        <v>4</v>
      </c>
      <c r="U13">
        <f>'Data - IA'!U22</f>
        <v>450</v>
      </c>
      <c r="V13">
        <f>'Data - IA'!U28</f>
        <v>530</v>
      </c>
      <c r="W13">
        <f>IF($E$5&gt;=U13,1,0)</f>
        <v>1</v>
      </c>
      <c r="X13">
        <f>IF($E$5&lt;=V13,1,0)</f>
        <v>1</v>
      </c>
    </row>
    <row r="14" spans="3:34" x14ac:dyDescent="0.25">
      <c r="C14" s="6">
        <f>'IA - XL'!D15</f>
        <v>665</v>
      </c>
      <c r="D14" s="6" t="str">
        <f>'IA - XL'!B15</f>
        <v>Frame: 58 ----- Stem: Integrated ----- Aerobar:+ 20 + bridge</v>
      </c>
      <c r="E14" s="6">
        <f t="shared" si="2"/>
        <v>1</v>
      </c>
      <c r="F14" s="6" t="str">
        <f t="shared" si="3"/>
        <v/>
      </c>
      <c r="G14" s="6" t="str">
        <f t="shared" si="4"/>
        <v/>
      </c>
      <c r="H14" s="6">
        <f t="shared" si="0"/>
        <v>-22</v>
      </c>
      <c r="I14" s="6">
        <f t="shared" si="1"/>
        <v>1</v>
      </c>
      <c r="J14" s="6" t="str">
        <f>'IA - XL'!G15</f>
        <v xml:space="preserve">Stem Bolts: 25mm -----  Aerobar Bolts: Top 25mm; Bottom 30mm </v>
      </c>
      <c r="K14" s="6">
        <v>1</v>
      </c>
      <c r="L14" t="str">
        <f t="array" ref="L14">INDEX($C$8:$D$382, SMALL(IF($C$8:$C$382=$F$5, ROW($C$8:$C$382)-MIN(ROW($C$8:$C$382))+1), ROW(7:7)),2)</f>
        <v>Frame: 51 ----- Stem: 31.8 ----- Carbon Aerobar: + 30</v>
      </c>
      <c r="M14" t="str">
        <f t="shared" si="5"/>
        <v>Frame: 51 ----- Stem: 31.8 ----- Carbon Aerobar: + 30</v>
      </c>
      <c r="N14" t="str">
        <f t="shared" si="6"/>
        <v>Frame: 51 ----- Stem: 31.8 ----- Carbon Aerobar: + 30  with reach:-9</v>
      </c>
      <c r="O14" t="str">
        <f t="shared" si="7"/>
        <v/>
      </c>
      <c r="P14" t="str">
        <f t="shared" si="8"/>
        <v>Frame: 51 ----- Stem: 31.8 ----- Carbon Aerobar: + 30</v>
      </c>
      <c r="Q14" t="str">
        <f t="shared" si="9"/>
        <v/>
      </c>
      <c r="T14" t="s">
        <v>5</v>
      </c>
      <c r="U14">
        <f>'Data - IA'!U23</f>
        <v>465</v>
      </c>
      <c r="V14">
        <f>'Data - IA'!U29</f>
        <v>545</v>
      </c>
      <c r="W14">
        <f>IF($E$5&gt;=U14,1,0)</f>
        <v>1</v>
      </c>
      <c r="X14">
        <f>IF($E$5&lt;=V14,1,0)</f>
        <v>1</v>
      </c>
    </row>
    <row r="15" spans="3:34" x14ac:dyDescent="0.25">
      <c r="C15" s="6">
        <f>'IA - XL'!D16</f>
        <v>670</v>
      </c>
      <c r="D15" s="6" t="str">
        <f>'IA - XL'!B16</f>
        <v>Frame: 58 ----- Stem: Integrated ----- Aerobar:+ 30</v>
      </c>
      <c r="E15" s="6">
        <f t="shared" si="2"/>
        <v>1</v>
      </c>
      <c r="F15" s="6">
        <f t="shared" si="3"/>
        <v>1</v>
      </c>
      <c r="G15" s="6" t="str">
        <f t="shared" si="4"/>
        <v/>
      </c>
      <c r="H15" s="6">
        <f t="shared" si="0"/>
        <v>-22</v>
      </c>
      <c r="I15" s="6">
        <f t="shared" si="1"/>
        <v>1</v>
      </c>
      <c r="J15" s="6" t="str">
        <f>'IA - XL'!G16</f>
        <v xml:space="preserve">Stem Bolts: 25mm -----  Aerobar Bolts: Top 25mm; Bottom 30mm </v>
      </c>
      <c r="K15" s="6">
        <v>1</v>
      </c>
      <c r="L15" t="str">
        <f t="array" ref="L15">INDEX($C$8:$D$382, SMALL(IF($C$8:$C$382=$F$5, ROW($C$8:$C$382)-MIN(ROW($C$8:$C$382))+1), ROW(8:8)),2)</f>
        <v>Frame: 51 ----- Stem: 31.8 ----- Carbon Aerobar: + 20 + bridge + 5</v>
      </c>
      <c r="M15" t="str">
        <f t="shared" si="5"/>
        <v>Frame: 51 ----- Stem: 31.8 ----- Carbon Aerobar: + 20 + bridge + 5</v>
      </c>
      <c r="N15" t="str">
        <f t="shared" si="6"/>
        <v>Frame: 51 ----- Stem: 31.8 ----- Carbon Aerobar: + 20 + bridge + 5  with reach:-9</v>
      </c>
      <c r="O15" t="str">
        <f t="shared" si="7"/>
        <v>Frame: 51 ----- Stem: 31.8 ----- Carbon Aerobar: + 20 + bridge + 5</v>
      </c>
      <c r="P15" t="str">
        <f t="shared" si="8"/>
        <v/>
      </c>
      <c r="Q15" t="str">
        <f t="shared" si="9"/>
        <v/>
      </c>
      <c r="T15" t="s">
        <v>6</v>
      </c>
      <c r="U15">
        <f>'Data - IA'!U24</f>
        <v>485</v>
      </c>
      <c r="V15">
        <f>'Data - IA'!U30</f>
        <v>565</v>
      </c>
      <c r="W15">
        <f>IF($E$5&gt;=U15,1,0)</f>
        <v>0</v>
      </c>
      <c r="X15">
        <f>IF($E$5&lt;=V15,1,0)</f>
        <v>1</v>
      </c>
    </row>
    <row r="16" spans="3:34" x14ac:dyDescent="0.25">
      <c r="C16" s="6">
        <f>'IA - XL'!D17</f>
        <v>670</v>
      </c>
      <c r="D16" s="6" t="str">
        <f>'IA - XL'!B17</f>
        <v>Frame: 58 ----- Stem: Integrated ----- Aerobar:+ 20 + bridge + 5</v>
      </c>
      <c r="E16" s="6">
        <f t="shared" si="2"/>
        <v>1</v>
      </c>
      <c r="F16" s="6" t="str">
        <f t="shared" si="3"/>
        <v/>
      </c>
      <c r="G16" s="6" t="str">
        <f t="shared" si="4"/>
        <v/>
      </c>
      <c r="H16" s="6">
        <f t="shared" si="0"/>
        <v>-22</v>
      </c>
      <c r="I16" s="6">
        <f t="shared" si="1"/>
        <v>1</v>
      </c>
      <c r="J16" s="6" t="str">
        <f>'IA - XL'!G17</f>
        <v xml:space="preserve">Stem Bolts: 25mm -----  Aerobar Bolts: Top 30mm; Bottom 30mm </v>
      </c>
      <c r="K16" s="6">
        <v>1</v>
      </c>
      <c r="L16" t="str">
        <f t="array" ref="L16">INDEX($C$8:$D$382, SMALL(IF($C$8:$C$382=$F$5, ROW($C$8:$C$382)-MIN(ROW($C$8:$C$382))+1), ROW(9:9)),2)</f>
        <v>Frame: 48 ----- Stem: 31.8 ----- Carbon Aerobar: + 40 + bridge + 10</v>
      </c>
      <c r="M16" t="str">
        <f t="shared" si="5"/>
        <v>Frame: 48 ----- Stem: 31.8 ----- Carbon Aerobar: + 40 + bridge + 10</v>
      </c>
      <c r="N16" t="str">
        <f t="shared" si="6"/>
        <v>Frame: 48 ----- Stem: 31.8 ----- Carbon Aerobar: + 40 + bridge + 10  with reach:-1</v>
      </c>
      <c r="O16" t="str">
        <f t="shared" si="7"/>
        <v/>
      </c>
      <c r="P16" t="str">
        <f t="shared" si="8"/>
        <v/>
      </c>
      <c r="Q16" t="str">
        <f t="shared" si="9"/>
        <v>Frame: 48 ----- Stem: 31.8 ----- Carbon Aerobar: + 40 + bridge + 10</v>
      </c>
      <c r="T16" t="s">
        <v>7</v>
      </c>
      <c r="U16">
        <f>'Data - IA'!U25</f>
        <v>505</v>
      </c>
      <c r="V16">
        <f>'Data - IA'!U31</f>
        <v>585</v>
      </c>
      <c r="W16">
        <f>IF($E$5&gt;=U16,1,0)</f>
        <v>0</v>
      </c>
      <c r="X16">
        <f>IF($E$5&lt;=V16,1,0)</f>
        <v>1</v>
      </c>
    </row>
    <row r="17" spans="3:23" x14ac:dyDescent="0.25">
      <c r="C17" s="6">
        <f>'IA - XL'!D18</f>
        <v>675</v>
      </c>
      <c r="D17" s="6" t="str">
        <f>'IA - XL'!B18</f>
        <v>Frame: 58 ----- Stem: Integrated ----- Aerobar:+ 30 + bridge</v>
      </c>
      <c r="E17" s="6">
        <f t="shared" si="2"/>
        <v>1</v>
      </c>
      <c r="F17" s="6">
        <f t="shared" si="3"/>
        <v>1</v>
      </c>
      <c r="G17" s="6" t="str">
        <f t="shared" si="4"/>
        <v/>
      </c>
      <c r="H17" s="6">
        <f t="shared" si="0"/>
        <v>-22</v>
      </c>
      <c r="I17" s="6">
        <f t="shared" si="1"/>
        <v>1</v>
      </c>
      <c r="J17" s="6" t="str">
        <f>'IA - XL'!G18</f>
        <v xml:space="preserve">Stem Bolts: 25mm -----  Aerobar Bolts: Top 30mm; Bottom 30mm </v>
      </c>
      <c r="K17" s="6">
        <v>1</v>
      </c>
      <c r="L17" t="str">
        <f t="array" ref="L17">INDEX($C$8:$D$382, SMALL(IF($C$8:$C$382=$F$5, ROW($C$8:$C$382)-MIN(ROW($C$8:$C$382))+1), ROW(10:10)),2)</f>
        <v>Frame: 51 ----- Stem: 31.8 ----- Alloy Aerobar: + 5 + 10</v>
      </c>
      <c r="M17" t="str">
        <f t="shared" si="5"/>
        <v>Frame: 51 ----- Stem: 31.8 ----- Alloy Aerobar: + 5 + 10</v>
      </c>
      <c r="N17" t="str">
        <f t="shared" si="6"/>
        <v>Frame: 51 ----- Stem: 31.8 ----- Alloy Aerobar: + 5 + 10  with reach:-7</v>
      </c>
      <c r="O17" t="str">
        <f t="shared" si="7"/>
        <v>Frame: 51 ----- Stem: 31.8 ----- Alloy Aerobar: + 5 + 10</v>
      </c>
      <c r="P17" t="str">
        <f t="shared" si="8"/>
        <v/>
      </c>
      <c r="Q17" t="str">
        <f t="shared" si="9"/>
        <v/>
      </c>
    </row>
    <row r="18" spans="3:23" x14ac:dyDescent="0.25">
      <c r="C18" s="6">
        <f>'IA - XL'!D19</f>
        <v>680</v>
      </c>
      <c r="D18" s="6" t="str">
        <f>'IA - XL'!B19</f>
        <v>Frame: 58 ----- Stem: Integrated ----- Aerobar:+ 30 + bridge + 5</v>
      </c>
      <c r="E18" s="6">
        <f t="shared" si="2"/>
        <v>1</v>
      </c>
      <c r="F18" s="6">
        <f t="shared" si="3"/>
        <v>1</v>
      </c>
      <c r="G18" s="6" t="str">
        <f t="shared" si="4"/>
        <v/>
      </c>
      <c r="H18" s="6">
        <f t="shared" si="0"/>
        <v>-22</v>
      </c>
      <c r="I18" s="6">
        <f t="shared" si="1"/>
        <v>1</v>
      </c>
      <c r="J18" s="6" t="str">
        <f>'IA - XL'!G19</f>
        <v xml:space="preserve">Stem Bolts: 25mm -----  Aerobar Bolts: Top 35mm; Bottom 30mm </v>
      </c>
      <c r="K18" s="6">
        <v>1</v>
      </c>
      <c r="L18" t="str">
        <f t="array" ref="L18">INDEX($C$8:$D$382, SMALL(IF($C$8:$C$382=$F$5, ROW($C$8:$C$382)-MIN(ROW($C$8:$C$382))+1), ROW(11:11)),2)</f>
        <v>Frame: 48 ----- Stem: 31.8 ----- Alloy Aerobar: + 30 + bridge + 5</v>
      </c>
      <c r="M18" t="str">
        <f t="shared" si="5"/>
        <v>Frame: 48 ----- Stem: 31.8 ----- Alloy Aerobar: + 30 + bridge + 5</v>
      </c>
      <c r="N18" t="str">
        <f>IF(M18="","",TEXT(M18,0)&amp;"  with reach:"&amp;IFERROR(VLOOKUP(M18,$D$8:$H$382,5,FALSE),""))</f>
        <v>Frame: 48 ----- Stem: 31.8 ----- Alloy Aerobar: + 30 + bridge + 5  with reach:1</v>
      </c>
      <c r="O18" t="str">
        <f t="shared" si="7"/>
        <v/>
      </c>
      <c r="P18" t="str">
        <f t="shared" si="8"/>
        <v>Frame: 48 ----- Stem: 31.8 ----- Alloy Aerobar: + 30 + bridge + 5</v>
      </c>
      <c r="Q18" t="str">
        <f t="shared" si="9"/>
        <v/>
      </c>
    </row>
    <row r="19" spans="3:23" x14ac:dyDescent="0.25">
      <c r="C19" s="6">
        <f>'IA - XL'!D20</f>
        <v>685</v>
      </c>
      <c r="D19" s="6" t="str">
        <f>'IA - XL'!B20</f>
        <v>Frame: 58 ----- Stem: Integrated ----- Aerobar:+ 40 + bridge</v>
      </c>
      <c r="E19" s="6">
        <f t="shared" si="2"/>
        <v>1</v>
      </c>
      <c r="F19" s="6" t="str">
        <f t="shared" si="3"/>
        <v/>
      </c>
      <c r="G19" s="6">
        <f t="shared" si="4"/>
        <v>1</v>
      </c>
      <c r="H19" s="6">
        <f t="shared" si="0"/>
        <v>-22</v>
      </c>
      <c r="I19" s="6">
        <f t="shared" si="1"/>
        <v>1</v>
      </c>
      <c r="J19" s="6" t="str">
        <f>'IA - XL'!G20</f>
        <v xml:space="preserve">Stem Bolts: 25mm -----  Aerobar Bolts: Top 35mm; Bottom 30mm </v>
      </c>
      <c r="K19" s="6">
        <v>1</v>
      </c>
      <c r="L19" t="e">
        <f t="array" ref="L19">INDEX($C$8:$D$382, SMALL(IF($C$8:$C$382=$F$5, ROW($C$8:$C$382)-MIN(ROW($C$8:$C$382))+1), ROW(12:12)),2)</f>
        <v>#NUM!</v>
      </c>
      <c r="M19" t="str">
        <f t="shared" si="5"/>
        <v/>
      </c>
      <c r="N19" t="str">
        <f t="shared" si="6"/>
        <v/>
      </c>
      <c r="O19" t="str">
        <f t="shared" si="7"/>
        <v/>
      </c>
      <c r="P19" t="str">
        <f t="shared" si="8"/>
        <v/>
      </c>
      <c r="Q19" t="str">
        <f t="shared" si="9"/>
        <v/>
      </c>
      <c r="T19" t="s">
        <v>32</v>
      </c>
      <c r="U19" t="s">
        <v>35</v>
      </c>
      <c r="V19">
        <v>31.8</v>
      </c>
      <c r="W19" t="s">
        <v>69</v>
      </c>
    </row>
    <row r="20" spans="3:23" x14ac:dyDescent="0.25">
      <c r="C20" s="6">
        <f>'IA - XL'!D21</f>
        <v>690</v>
      </c>
      <c r="D20" s="6" t="str">
        <f>'IA - XL'!B21</f>
        <v>Frame: 58 ----- Stem: Integrated ----- Aerobar:+ 40 + bridge + 5</v>
      </c>
      <c r="E20" s="6">
        <f t="shared" si="2"/>
        <v>1</v>
      </c>
      <c r="F20" s="6" t="str">
        <f t="shared" si="3"/>
        <v/>
      </c>
      <c r="G20" s="6">
        <f t="shared" si="4"/>
        <v>1</v>
      </c>
      <c r="H20" s="6">
        <f t="shared" si="0"/>
        <v>-22</v>
      </c>
      <c r="I20" s="6">
        <f t="shared" si="1"/>
        <v>1</v>
      </c>
      <c r="J20" s="6" t="str">
        <f>'IA - XL'!G21</f>
        <v xml:space="preserve">Stem Bolts: 25mm -----  Aerobar Bolts: Top 35mm; Bottom 30mm </v>
      </c>
      <c r="K20" s="6">
        <v>1</v>
      </c>
      <c r="L20" t="e">
        <f t="array" ref="L20">INDEX($C$8:$D$382, SMALL(IF($C$8:$C$382=$F$5, ROW($C$8:$C$382)-MIN(ROW($C$8:$C$382))+1), ROW(13:13)),2)</f>
        <v>#NUM!</v>
      </c>
      <c r="M20" t="str">
        <f t="shared" si="5"/>
        <v/>
      </c>
      <c r="N20" t="str">
        <f t="shared" si="6"/>
        <v/>
      </c>
      <c r="O20" t="str">
        <f t="shared" si="7"/>
        <v/>
      </c>
      <c r="P20" t="str">
        <f t="shared" si="8"/>
        <v/>
      </c>
      <c r="Q20" t="str">
        <f t="shared" si="9"/>
        <v/>
      </c>
      <c r="T20" t="s">
        <v>3</v>
      </c>
      <c r="U20">
        <f>'Data - IA'!T9</f>
        <v>426</v>
      </c>
      <c r="V20">
        <f>'Data - IA'!U9</f>
        <v>471</v>
      </c>
      <c r="W20">
        <f>'Data - IA'!V9</f>
        <v>469</v>
      </c>
    </row>
    <row r="21" spans="3:23" x14ac:dyDescent="0.25">
      <c r="C21" s="6">
        <f>'IA - XL'!D22</f>
        <v>695</v>
      </c>
      <c r="D21" s="6" t="str">
        <f>'IA - XL'!B22</f>
        <v>Frame: 58 ----- Stem: Integrated ----- Aerobar:+ 40 + bridge + 10</v>
      </c>
      <c r="E21" s="6">
        <f t="shared" si="2"/>
        <v>1</v>
      </c>
      <c r="F21" s="6" t="str">
        <f t="shared" si="3"/>
        <v/>
      </c>
      <c r="G21" s="6">
        <f t="shared" si="4"/>
        <v>1</v>
      </c>
      <c r="H21" s="6">
        <f t="shared" si="0"/>
        <v>-22</v>
      </c>
      <c r="I21" s="6">
        <f t="shared" si="1"/>
        <v>1</v>
      </c>
      <c r="J21" s="6" t="str">
        <f>'IA - XL'!G22</f>
        <v xml:space="preserve">Stem Bolts: 25mm -----  Aerobar Bolts: Top 40mm; Bottom 30mm </v>
      </c>
      <c r="K21" s="6">
        <v>1</v>
      </c>
      <c r="L21" t="e">
        <f t="array" ref="L21">INDEX($C$8:$D$382, SMALL(IF($C$8:$C$382=$F$5, ROW($C$8:$C$382)-MIN(ROW($C$8:$C$382))+1), ROW(14:14)),2)</f>
        <v>#NUM!</v>
      </c>
      <c r="M21" t="str">
        <f t="shared" si="5"/>
        <v/>
      </c>
      <c r="N21" t="str">
        <f t="shared" si="6"/>
        <v/>
      </c>
      <c r="O21" t="str">
        <f t="shared" si="7"/>
        <v/>
      </c>
      <c r="P21" t="str">
        <f t="shared" si="8"/>
        <v/>
      </c>
      <c r="Q21" t="str">
        <f t="shared" si="9"/>
        <v/>
      </c>
      <c r="T21" t="s">
        <v>4</v>
      </c>
      <c r="U21">
        <f>'Data - IA'!T10</f>
        <v>434</v>
      </c>
      <c r="V21">
        <f>'Data - IA'!U10</f>
        <v>479</v>
      </c>
      <c r="W21">
        <f>'Data - IA'!V10</f>
        <v>477</v>
      </c>
    </row>
    <row r="22" spans="3:23" x14ac:dyDescent="0.25">
      <c r="C22" s="6">
        <f>'IA - XL'!D23</f>
        <v>700</v>
      </c>
      <c r="D22" s="6" t="str">
        <f>'IA - XL'!B23</f>
        <v>Frame: 58 ----- Stem: Integrated ----- Aerobar:+ 40 + bridge + 10 + 5</v>
      </c>
      <c r="E22" s="6">
        <f t="shared" si="2"/>
        <v>1</v>
      </c>
      <c r="F22" s="6" t="str">
        <f t="shared" si="3"/>
        <v/>
      </c>
      <c r="G22" s="6">
        <f t="shared" si="4"/>
        <v>1</v>
      </c>
      <c r="H22" s="6">
        <f t="shared" si="0"/>
        <v>-22</v>
      </c>
      <c r="I22" s="6">
        <f t="shared" si="1"/>
        <v>1</v>
      </c>
      <c r="J22" s="6" t="str">
        <f>'IA - XL'!G23</f>
        <v xml:space="preserve">Stem Bolts: 25mm -----  Aerobar Bolts: Top 45mm; Bottom 30mm </v>
      </c>
      <c r="K22" s="6">
        <v>1</v>
      </c>
      <c r="L22" t="e">
        <f t="array" ref="L22">INDEX($C$8:$D$382, SMALL(IF($C$8:$C$382=$F$5, ROW($C$8:$C$382)-MIN(ROW($C$8:$C$382))+1), ROW(15:15)),2)</f>
        <v>#NUM!</v>
      </c>
      <c r="M22" t="str">
        <f t="shared" si="5"/>
        <v/>
      </c>
      <c r="N22" t="str">
        <f t="shared" si="6"/>
        <v/>
      </c>
      <c r="O22" t="str">
        <f t="shared" si="7"/>
        <v/>
      </c>
      <c r="P22" t="str">
        <f t="shared" si="8"/>
        <v/>
      </c>
      <c r="Q22" t="str">
        <f t="shared" si="9"/>
        <v/>
      </c>
      <c r="T22" t="s">
        <v>5</v>
      </c>
      <c r="U22">
        <f>'Data - IA'!T11</f>
        <v>450</v>
      </c>
      <c r="V22">
        <f>'Data - IA'!U11</f>
        <v>495</v>
      </c>
      <c r="W22">
        <f>'Data - IA'!V11</f>
        <v>493</v>
      </c>
    </row>
    <row r="23" spans="3:23" x14ac:dyDescent="0.25">
      <c r="C23">
        <f>'IA - XL'!D24</f>
        <v>0</v>
      </c>
      <c r="D23" t="str">
        <f>'IA - XL'!B24</f>
        <v xml:space="preserve">Frame: 58 ----- Stem: Integrated w/15 ----- Aerobar: </v>
      </c>
      <c r="E23">
        <f t="shared" si="2"/>
        <v>1</v>
      </c>
      <c r="F23" t="str">
        <f t="shared" si="3"/>
        <v/>
      </c>
      <c r="G23" t="str">
        <f t="shared" si="4"/>
        <v/>
      </c>
      <c r="H23">
        <f t="shared" si="0"/>
        <v>-22</v>
      </c>
      <c r="I23">
        <f t="shared" si="1"/>
        <v>1</v>
      </c>
      <c r="J23" t="str">
        <f>'IA - XL'!G24</f>
        <v xml:space="preserve">Stem Bolts: 40mm -----  Aerobar Bolts: Top N/A; Bottom N/A </v>
      </c>
      <c r="K23" s="6">
        <v>1</v>
      </c>
      <c r="L23" t="e">
        <f t="array" ref="L23">INDEX($C$8:$D$382, SMALL(IF($C$8:$C$382=$F$5, ROW($C$8:$C$382)-MIN(ROW($C$8:$C$382))+1), ROW(16:16)),2)</f>
        <v>#NUM!</v>
      </c>
      <c r="M23" t="str">
        <f t="shared" si="5"/>
        <v/>
      </c>
      <c r="N23" t="str">
        <f t="shared" si="6"/>
        <v/>
      </c>
      <c r="O23" t="str">
        <f t="shared" si="7"/>
        <v/>
      </c>
      <c r="P23" t="str">
        <f t="shared" si="8"/>
        <v/>
      </c>
      <c r="Q23" t="str">
        <f t="shared" si="9"/>
        <v/>
      </c>
      <c r="T23" t="s">
        <v>6</v>
      </c>
      <c r="U23">
        <f>'Data - IA'!T12</f>
        <v>470</v>
      </c>
      <c r="V23">
        <f>'Data - IA'!U12</f>
        <v>515</v>
      </c>
      <c r="W23">
        <f>'Data - IA'!V12</f>
        <v>513</v>
      </c>
    </row>
    <row r="24" spans="3:23" x14ac:dyDescent="0.25">
      <c r="C24">
        <f>'IA - XL'!D25</f>
        <v>660</v>
      </c>
      <c r="D24" t="str">
        <f>'IA - XL'!B25</f>
        <v>Frame: 58 ----- Stem: Integrated w/15 ----- Aerobar: + 5</v>
      </c>
      <c r="E24">
        <f t="shared" si="2"/>
        <v>1</v>
      </c>
      <c r="F24" t="str">
        <f t="shared" si="3"/>
        <v/>
      </c>
      <c r="G24" t="str">
        <f t="shared" si="4"/>
        <v/>
      </c>
      <c r="H24">
        <f t="shared" si="0"/>
        <v>-22</v>
      </c>
      <c r="I24">
        <f t="shared" si="1"/>
        <v>1</v>
      </c>
      <c r="J24" t="str">
        <f>'IA - XL'!G25</f>
        <v xml:space="preserve">Stem Bolts: 40mm -----  Aerobar Bolts: Top 45mm; Bottom N/A </v>
      </c>
      <c r="K24" s="6">
        <v>1</v>
      </c>
      <c r="L24" t="e">
        <f t="array" ref="L24">INDEX($C$8:$D$382, SMALL(IF($C$8:$C$382=$F$5, ROW($C$8:$C$382)-MIN(ROW($C$8:$C$382))+1), ROW(17:17)),2)</f>
        <v>#NUM!</v>
      </c>
      <c r="M24" t="str">
        <f t="shared" si="5"/>
        <v/>
      </c>
      <c r="N24" t="str">
        <f t="shared" si="6"/>
        <v/>
      </c>
      <c r="O24" t="str">
        <f t="shared" si="7"/>
        <v/>
      </c>
      <c r="P24" t="str">
        <f t="shared" si="8"/>
        <v/>
      </c>
      <c r="Q24" t="str">
        <f t="shared" si="9"/>
        <v/>
      </c>
      <c r="T24" t="s">
        <v>7</v>
      </c>
      <c r="U24">
        <f>'Data - IA'!T13</f>
        <v>492</v>
      </c>
      <c r="V24">
        <f>'Data - IA'!U13</f>
        <v>537</v>
      </c>
      <c r="W24">
        <f>'Data - IA'!V13</f>
        <v>535</v>
      </c>
    </row>
    <row r="25" spans="3:23" x14ac:dyDescent="0.25">
      <c r="C25">
        <f>'IA - XL'!D26</f>
        <v>665</v>
      </c>
      <c r="D25" t="str">
        <f>'IA - XL'!B26</f>
        <v>Frame: 58 ----- Stem: Integrated w/15 ----- Aerobar: + 10</v>
      </c>
      <c r="E25">
        <f t="shared" si="2"/>
        <v>1</v>
      </c>
      <c r="F25" t="str">
        <f t="shared" si="3"/>
        <v/>
      </c>
      <c r="G25" t="str">
        <f t="shared" si="4"/>
        <v/>
      </c>
      <c r="H25">
        <f t="shared" si="0"/>
        <v>-22</v>
      </c>
      <c r="I25">
        <f t="shared" si="1"/>
        <v>1</v>
      </c>
      <c r="J25" t="str">
        <f>'IA - XL'!G26</f>
        <v xml:space="preserve">Stem Bolts: 40mm -----  Aerobar Bolts: Top 50mm; Bottom N/A </v>
      </c>
      <c r="K25" s="6">
        <v>1</v>
      </c>
      <c r="L25" t="e">
        <f t="array" ref="L25">INDEX($C$8:$D$382, SMALL(IF($C$8:$C$382=$F$5, ROW($C$8:$C$382)-MIN(ROW($C$8:$C$382))+1), ROW(18:18)),2)</f>
        <v>#NUM!</v>
      </c>
      <c r="M25" t="str">
        <f t="shared" si="5"/>
        <v/>
      </c>
      <c r="N25" t="str">
        <f t="shared" si="6"/>
        <v/>
      </c>
      <c r="O25" t="str">
        <f t="shared" si="7"/>
        <v/>
      </c>
      <c r="P25" t="str">
        <f t="shared" si="8"/>
        <v/>
      </c>
      <c r="Q25" t="str">
        <f t="shared" si="9"/>
        <v/>
      </c>
    </row>
    <row r="26" spans="3:23" x14ac:dyDescent="0.25">
      <c r="C26">
        <f>'IA - XL'!D27</f>
        <v>670</v>
      </c>
      <c r="D26" t="str">
        <f>'IA - XL'!B27</f>
        <v>Frame: 58 ----- Stem: Integrated w/15 ----- Aerobar: + 5 + 10</v>
      </c>
      <c r="E26">
        <f t="shared" si="2"/>
        <v>1</v>
      </c>
      <c r="F26" t="str">
        <f t="shared" si="3"/>
        <v/>
      </c>
      <c r="G26" t="str">
        <f t="shared" si="4"/>
        <v/>
      </c>
      <c r="H26">
        <f t="shared" si="0"/>
        <v>-22</v>
      </c>
      <c r="I26">
        <f t="shared" si="1"/>
        <v>1</v>
      </c>
      <c r="J26" t="str">
        <f>'IA - XL'!G27</f>
        <v xml:space="preserve">Stem Bolts: 40mm -----  Aerobar Bolts: Top 55mm; Bottom N/A </v>
      </c>
      <c r="K26" s="6">
        <v>1</v>
      </c>
      <c r="L26" t="e">
        <f t="array" ref="L26">INDEX($C$8:$D$382, SMALL(IF($C$8:$C$382=$F$5, ROW($C$8:$C$382)-MIN(ROW($C$8:$C$382))+1), ROW(19:19)),2)</f>
        <v>#NUM!</v>
      </c>
      <c r="M26" t="str">
        <f t="shared" si="5"/>
        <v/>
      </c>
      <c r="N26" t="str">
        <f t="shared" si="6"/>
        <v/>
      </c>
      <c r="O26" t="str">
        <f t="shared" si="7"/>
        <v/>
      </c>
      <c r="P26" t="str">
        <f t="shared" si="8"/>
        <v/>
      </c>
      <c r="Q26" t="str">
        <f t="shared" si="9"/>
        <v/>
      </c>
    </row>
    <row r="27" spans="3:23" x14ac:dyDescent="0.25">
      <c r="C27">
        <f>'IA - XL'!D28</f>
        <v>675</v>
      </c>
      <c r="D27" t="str">
        <f>'IA - XL'!B28</f>
        <v>Frame: 58 ----- Stem: Integrated w/15 ----- Aerobar: + 20</v>
      </c>
      <c r="E27">
        <f>$W$9*$X$9</f>
        <v>1</v>
      </c>
      <c r="F27" t="str">
        <f t="shared" si="3"/>
        <v/>
      </c>
      <c r="G27" t="str">
        <f t="shared" si="4"/>
        <v/>
      </c>
      <c r="H27">
        <f t="shared" si="0"/>
        <v>-22</v>
      </c>
      <c r="I27">
        <f t="shared" si="1"/>
        <v>1</v>
      </c>
      <c r="J27" t="str">
        <f>'IA - XL'!G28</f>
        <v xml:space="preserve">Stem Bolts: 40mm -----  Aerobar Bolts: Top 20mm; Bottom 30mm </v>
      </c>
      <c r="K27" s="6">
        <v>1</v>
      </c>
      <c r="L27" t="e">
        <f t="array" ref="L27">INDEX($C$8:$D$382, SMALL(IF($C$8:$C$382=$F$5, ROW($C$8:$C$382)-MIN(ROW($C$8:$C$382))+1), ROW(20:20)),2)</f>
        <v>#NUM!</v>
      </c>
      <c r="M27" t="str">
        <f t="shared" si="5"/>
        <v/>
      </c>
      <c r="N27" t="str">
        <f t="shared" si="6"/>
        <v/>
      </c>
      <c r="O27" t="str">
        <f t="shared" si="7"/>
        <v/>
      </c>
      <c r="P27" t="str">
        <f t="shared" si="8"/>
        <v/>
      </c>
      <c r="Q27" t="str">
        <f t="shared" si="9"/>
        <v/>
      </c>
    </row>
    <row r="28" spans="3:23" x14ac:dyDescent="0.25">
      <c r="C28">
        <f>'IA - XL'!D29</f>
        <v>680</v>
      </c>
      <c r="D28" t="str">
        <f>'IA - XL'!B29</f>
        <v>Frame: 58 ----- Stem: Integrated w/15 ----- Aerobar: + 20 + 5</v>
      </c>
      <c r="E28">
        <f t="shared" si="2"/>
        <v>1</v>
      </c>
      <c r="F28" t="str">
        <f t="shared" si="3"/>
        <v/>
      </c>
      <c r="G28" t="str">
        <f t="shared" si="4"/>
        <v/>
      </c>
      <c r="H28">
        <f t="shared" si="0"/>
        <v>-22</v>
      </c>
      <c r="I28">
        <f t="shared" si="1"/>
        <v>1</v>
      </c>
      <c r="J28" t="str">
        <f>'IA - XL'!G29</f>
        <v xml:space="preserve">Stem Bolts: 40mm -----  Aerobar Bolts: Top 25mm; Bottom 30mm </v>
      </c>
      <c r="K28" s="6">
        <v>1</v>
      </c>
      <c r="L28" t="e">
        <f t="array" ref="L28">INDEX($C$8:$D$382, SMALL(IF($C$8:$C$382=$F$5, ROW($C$8:$C$382)-MIN(ROW($C$8:$C$382))+1), ROW(21:21)),2)</f>
        <v>#NUM!</v>
      </c>
      <c r="M28" t="str">
        <f t="shared" si="5"/>
        <v/>
      </c>
      <c r="N28" t="str">
        <f t="shared" si="6"/>
        <v/>
      </c>
      <c r="O28" t="str">
        <f t="shared" si="7"/>
        <v/>
      </c>
      <c r="P28" t="str">
        <f t="shared" si="8"/>
        <v/>
      </c>
      <c r="Q28" t="str">
        <f t="shared" si="9"/>
        <v/>
      </c>
    </row>
    <row r="29" spans="3:23" x14ac:dyDescent="0.25">
      <c r="C29">
        <f>'IA - XL'!D30</f>
        <v>680</v>
      </c>
      <c r="D29" t="str">
        <f>'IA - XL'!B30</f>
        <v>Frame: 58 ----- Stem: Integrated w/15 ----- Aerobar: + 20 + bridge</v>
      </c>
      <c r="E29">
        <f t="shared" si="2"/>
        <v>1</v>
      </c>
      <c r="F29" t="str">
        <f t="shared" si="3"/>
        <v/>
      </c>
      <c r="G29" t="str">
        <f t="shared" si="4"/>
        <v/>
      </c>
      <c r="H29">
        <f t="shared" si="0"/>
        <v>-22</v>
      </c>
      <c r="I29">
        <f t="shared" si="1"/>
        <v>1</v>
      </c>
      <c r="J29" t="str">
        <f>'IA - XL'!G30</f>
        <v xml:space="preserve">Stem Bolts: 40mm -----  Aerobar Bolts: Top 25mm; Bottom 30mm </v>
      </c>
      <c r="K29" s="6">
        <v>1</v>
      </c>
      <c r="L29" t="e">
        <f t="array" ref="L29">INDEX($C$8:$D$382, SMALL(IF($C$8:$C$382=$F$5, ROW($C$8:$C$382)-MIN(ROW($C$8:$C$382))+1), ROW(22:22)),2)</f>
        <v>#NUM!</v>
      </c>
      <c r="M29" t="str">
        <f t="shared" si="5"/>
        <v/>
      </c>
      <c r="N29" t="str">
        <f t="shared" si="6"/>
        <v/>
      </c>
      <c r="O29" t="str">
        <f t="shared" si="7"/>
        <v/>
      </c>
      <c r="P29" t="str">
        <f t="shared" si="8"/>
        <v/>
      </c>
      <c r="Q29" t="str">
        <f t="shared" si="9"/>
        <v/>
      </c>
      <c r="T29" s="1"/>
    </row>
    <row r="30" spans="3:23" x14ac:dyDescent="0.25">
      <c r="C30">
        <f>'IA - XL'!D31</f>
        <v>685</v>
      </c>
      <c r="D30" t="str">
        <f>'IA - XL'!B31</f>
        <v>Frame: 58 ----- Stem: Integrated w/15 ----- Aerobar: + 30</v>
      </c>
      <c r="E30">
        <f t="shared" si="2"/>
        <v>1</v>
      </c>
      <c r="F30">
        <f t="shared" si="3"/>
        <v>1</v>
      </c>
      <c r="G30" t="str">
        <f t="shared" si="4"/>
        <v/>
      </c>
      <c r="H30">
        <f t="shared" si="0"/>
        <v>-22</v>
      </c>
      <c r="I30">
        <f t="shared" si="1"/>
        <v>1</v>
      </c>
      <c r="J30" t="str">
        <f>'IA - XL'!G31</f>
        <v xml:space="preserve">Stem Bolts: 40mm -----  Aerobar Bolts: Top 25mm; Bottom 30mm </v>
      </c>
      <c r="K30" s="6">
        <v>1</v>
      </c>
      <c r="L30" t="s">
        <v>11</v>
      </c>
      <c r="O30" s="1" t="s">
        <v>28</v>
      </c>
      <c r="P30" t="str">
        <f>IFERROR(IF(VLOOKUP("1",D24:F248,3,FALSE)=1,M24,""),"")</f>
        <v/>
      </c>
    </row>
    <row r="31" spans="3:23" x14ac:dyDescent="0.25">
      <c r="C31">
        <f>'IA - XL'!D32</f>
        <v>685</v>
      </c>
      <c r="D31" t="str">
        <f>'IA - XL'!B32</f>
        <v>Frame: 58 ----- Stem: Integrated w/15 ----- Aerobar: + 20 + bridge + 5</v>
      </c>
      <c r="E31">
        <f t="shared" si="2"/>
        <v>1</v>
      </c>
      <c r="F31" t="str">
        <f t="shared" si="3"/>
        <v/>
      </c>
      <c r="G31" t="str">
        <f t="shared" si="4"/>
        <v/>
      </c>
      <c r="H31">
        <f t="shared" si="0"/>
        <v>-22</v>
      </c>
      <c r="I31">
        <f t="shared" si="1"/>
        <v>1</v>
      </c>
      <c r="J31" t="str">
        <f>'IA - XL'!G32</f>
        <v xml:space="preserve">Stem Bolts: 40mm -----  Aerobar Bolts: Top 30mm; Bottom 30mm </v>
      </c>
      <c r="K31" s="6">
        <v>1</v>
      </c>
      <c r="L31" t="s">
        <v>11</v>
      </c>
      <c r="O31" s="1" t="s">
        <v>25</v>
      </c>
      <c r="P31" s="1" t="s">
        <v>26</v>
      </c>
      <c r="Q31" s="1" t="s">
        <v>27</v>
      </c>
    </row>
    <row r="32" spans="3:23" x14ac:dyDescent="0.25">
      <c r="C32">
        <f>'IA - XL'!D33</f>
        <v>690</v>
      </c>
      <c r="D32" t="str">
        <f>'IA - XL'!B33</f>
        <v>Frame: 58 ----- Stem: Integrated w/15 ----- Aerobar: + 30 + bridge</v>
      </c>
      <c r="E32">
        <f t="shared" si="2"/>
        <v>1</v>
      </c>
      <c r="F32">
        <f t="shared" si="3"/>
        <v>1</v>
      </c>
      <c r="G32" t="str">
        <f t="shared" si="4"/>
        <v/>
      </c>
      <c r="H32">
        <f t="shared" si="0"/>
        <v>-22</v>
      </c>
      <c r="I32">
        <f t="shared" si="1"/>
        <v>1</v>
      </c>
      <c r="J32" t="str">
        <f>'IA - XL'!G33</f>
        <v xml:space="preserve">Stem Bolts: 40mm -----  Aerobar Bolts: Top 30mm; Bottom 30mm </v>
      </c>
      <c r="K32" s="6">
        <v>1</v>
      </c>
      <c r="L32" t="s">
        <v>11</v>
      </c>
      <c r="O32" t="str">
        <f t="array" ref="O32">IFERROR(INDEX(O$8:O$29,SMALL(IF(O$8:O$29&lt;&gt;"",ROW(O$8:O$29)-ROW(O$8)+1),ROWS(P$32:P32))),"")</f>
        <v>Frame: 51 ----- Stem: Integrated ----- Aerobar:+ 5 + 10</v>
      </c>
      <c r="P32" t="str">
        <f t="array" ref="P32">IFERROR(INDEX(P$8:P$29,SMALL(IF(P$8:P$29&lt;&gt;"",ROW(P$8:P$29)-ROW(P$8)+1),ROWS(Q$32:Q32))),"")</f>
        <v>Frame: 48 ----- Stem: Integrated w/15 ----- Aerobar: + 30</v>
      </c>
      <c r="Q32" t="str">
        <f t="array" ref="Q32">IFERROR(INDEX(Q$8:Q$29,SMALL(IF(Q$8:Q$29&lt;&gt;"",ROW(Q$8:Q$29)-ROW(Q$8)+1),ROWS(R$26:R26))),"")</f>
        <v>Frame: 48 ----- Stem: Integrated ----- Aerobar:+ 40 + bridge</v>
      </c>
    </row>
    <row r="33" spans="3:20" x14ac:dyDescent="0.25">
      <c r="C33">
        <f>'IA - XL'!D34</f>
        <v>695</v>
      </c>
      <c r="D33" t="str">
        <f>'IA - XL'!B34</f>
        <v>Frame: 58 ----- Stem: Integrated w/15 ----- Aerobar: + 30 + bridge + 5</v>
      </c>
      <c r="E33">
        <f t="shared" si="2"/>
        <v>1</v>
      </c>
      <c r="F33">
        <f t="shared" si="3"/>
        <v>1</v>
      </c>
      <c r="G33" t="str">
        <f t="shared" si="4"/>
        <v/>
      </c>
      <c r="H33">
        <f t="shared" si="0"/>
        <v>-22</v>
      </c>
      <c r="I33">
        <f t="shared" si="1"/>
        <v>1</v>
      </c>
      <c r="J33" t="str">
        <f>'IA - XL'!G34</f>
        <v xml:space="preserve">Stem Bolts: 40mm -----  Aerobar Bolts: Top 35mm; Bottom 30mm </v>
      </c>
      <c r="K33" s="6">
        <v>1</v>
      </c>
      <c r="L33" t="s">
        <v>11</v>
      </c>
      <c r="O33" t="str">
        <f t="array" ref="O33">IFERROR(INDEX(O$8:O$29,SMALL(IF(O$8:O$29&lt;&gt;"",ROW(O$8:O$29)-ROW(O$8)+1),ROWS(P$32:P33))),"")</f>
        <v>Frame: 48 ----- Stem: Integrated w/15 ----- Aerobar: + 20 + bridge + 5</v>
      </c>
      <c r="P33" t="str">
        <f t="array" ref="P33">IFERROR(INDEX(P$8:P$29,SMALL(IF(P$8:P$29&lt;&gt;"",ROW(P$8:P$29)-ROW(P$8)+1),ROWS(Q$32:Q33))),"")</f>
        <v>Frame: 48 ----- Stem: Integrated w/30 ----- Aerobar: + 5 + 10</v>
      </c>
      <c r="Q33" t="str">
        <f t="array" ref="Q33">IFERROR(INDEX(Q$8:Q$29,SMALL(IF(Q$8:Q$29&lt;&gt;"",ROW(Q$8:Q$29)-ROW(Q$8)+1),ROWS(R$26:R27))),"")</f>
        <v>Frame: 48 ----- Stem: 31.8 ----- Carbon Aerobar: + 40 + bridge + 10</v>
      </c>
    </row>
    <row r="34" spans="3:20" x14ac:dyDescent="0.25">
      <c r="C34">
        <f>'IA - XL'!D35</f>
        <v>700</v>
      </c>
      <c r="D34" t="str">
        <f>'IA - XL'!B35</f>
        <v>Frame: 58 ----- Stem: Integrated w/15 ----- Aerobar: + 40 + bridge</v>
      </c>
      <c r="E34">
        <f t="shared" si="2"/>
        <v>1</v>
      </c>
      <c r="F34" t="str">
        <f t="shared" si="3"/>
        <v/>
      </c>
      <c r="G34">
        <f t="shared" si="4"/>
        <v>1</v>
      </c>
      <c r="H34">
        <f t="shared" si="0"/>
        <v>-22</v>
      </c>
      <c r="I34">
        <f t="shared" si="1"/>
        <v>1</v>
      </c>
      <c r="J34" t="str">
        <f>'IA - XL'!G35</f>
        <v xml:space="preserve">Stem Bolts: 40mm -----  Aerobar Bolts: Top 35mm; Bottom 30mm </v>
      </c>
      <c r="K34" s="6">
        <v>1</v>
      </c>
      <c r="L34" t="s">
        <v>11</v>
      </c>
      <c r="O34" t="str">
        <f t="array" ref="O34">IFERROR(INDEX(O$8:O$29,SMALL(IF(O$8:O$29&lt;&gt;"",ROW(O$8:O$29)-ROW(O$8)+1),ROWS(P$32:P34))),"")</f>
        <v>Frame: 54 ----- Stem: 31.8 ----- Carbon Aerobar: + 10</v>
      </c>
      <c r="P34" t="str">
        <f t="array" ref="P34">IFERROR(INDEX(P$8:P$29,SMALL(IF(P$8:P$29&lt;&gt;"",ROW(P$8:P$29)-ROW(P$8)+1),ROWS(Q$32:Q34))),"")</f>
        <v>Frame: 51 ----- Stem: 31.8 ----- Carbon Aerobar: + 30</v>
      </c>
      <c r="Q34" t="str">
        <f t="array" ref="Q34">IFERROR(INDEX(Q$8:Q$29,SMALL(IF(Q$8:Q$29&lt;&gt;"",ROW(Q$8:Q$29)-ROW(Q$8)+1),ROWS(R$26:R28))),"")</f>
        <v/>
      </c>
    </row>
    <row r="35" spans="3:20" x14ac:dyDescent="0.25">
      <c r="C35">
        <f>'IA - XL'!D36</f>
        <v>705</v>
      </c>
      <c r="D35" t="str">
        <f>'IA - XL'!B36</f>
        <v>Frame: 58 ----- Stem: Integrated w/15 ----- Aerobar: + 40 + bridge + 5</v>
      </c>
      <c r="E35">
        <f t="shared" si="2"/>
        <v>1</v>
      </c>
      <c r="F35" t="str">
        <f t="shared" si="3"/>
        <v/>
      </c>
      <c r="G35">
        <f t="shared" si="4"/>
        <v>1</v>
      </c>
      <c r="H35">
        <f t="shared" si="0"/>
        <v>-22</v>
      </c>
      <c r="I35">
        <f t="shared" si="1"/>
        <v>1</v>
      </c>
      <c r="J35" t="str">
        <f>'IA - XL'!G36</f>
        <v xml:space="preserve">Stem Bolts: 40mm -----  Aerobar Bolts: Top 35mm; Bottom 30mm </v>
      </c>
      <c r="K35" s="6">
        <v>1</v>
      </c>
      <c r="L35" t="s">
        <v>11</v>
      </c>
      <c r="O35" t="str">
        <f t="array" ref="O35">IFERROR(INDEX(O$8:O$29,SMALL(IF(O$8:O$29&lt;&gt;"",ROW(O$8:O$29)-ROW(O$8)+1),ROWS(P$32:P35))),"")</f>
        <v>Frame: 51 ----- Stem: 31.8 ----- Carbon Aerobar: + 20 + bridge + 5</v>
      </c>
      <c r="P35" t="str">
        <f t="array" ref="P35">IFERROR(INDEX(P$8:P$29,SMALL(IF(P$8:P$29&lt;&gt;"",ROW(P$8:P$29)-ROW(P$8)+1),ROWS(Q$32:Q35))),"")</f>
        <v>Frame: 48 ----- Stem: 31.8 ----- Alloy Aerobar: + 30 + bridge + 5</v>
      </c>
      <c r="Q35" t="str">
        <f t="array" ref="Q35">IFERROR(INDEX(Q$8:Q$29,SMALL(IF(Q$8:Q$29&lt;&gt;"",ROW(Q$8:Q$29)-ROW(Q$8)+1),ROWS(R$26:R29))),"")</f>
        <v/>
      </c>
    </row>
    <row r="36" spans="3:20" x14ac:dyDescent="0.25">
      <c r="C36">
        <f>'IA - XL'!D37</f>
        <v>710</v>
      </c>
      <c r="D36" t="str">
        <f>'IA - XL'!B37</f>
        <v>Frame: 58 ----- Stem: Integrated w/15 ----- Aerobar: + 40 + bridge + 10</v>
      </c>
      <c r="E36">
        <f t="shared" si="2"/>
        <v>1</v>
      </c>
      <c r="F36" t="str">
        <f t="shared" si="3"/>
        <v/>
      </c>
      <c r="G36">
        <f t="shared" si="4"/>
        <v>1</v>
      </c>
      <c r="H36">
        <f t="shared" si="0"/>
        <v>-22</v>
      </c>
      <c r="I36">
        <f t="shared" si="1"/>
        <v>1</v>
      </c>
      <c r="J36" t="str">
        <f>'IA - XL'!G37</f>
        <v xml:space="preserve">Stem Bolts: 40mm -----  Aerobar Bolts: Top 40mm; Bottom 30mm </v>
      </c>
      <c r="K36" s="6">
        <v>1</v>
      </c>
      <c r="L36" t="s">
        <v>11</v>
      </c>
      <c r="O36" t="str">
        <f t="array" ref="O36">IFERROR(INDEX(O$8:O$29,SMALL(IF(O$8:O$29&lt;&gt;"",ROW(O$8:O$29)-ROW(O$8)+1),ROWS(P$32:P36))),"")</f>
        <v>Frame: 51 ----- Stem: 31.8 ----- Alloy Aerobar: + 5 + 10</v>
      </c>
      <c r="P36" t="str">
        <f t="array" ref="P36">IFERROR(INDEX(P$8:P$29,SMALL(IF(P$8:P$29&lt;&gt;"",ROW(P$8:P$29)-ROW(P$8)+1),ROWS(Q$32:Q36))),"")</f>
        <v/>
      </c>
      <c r="Q36" t="str">
        <f t="array" ref="Q36">IFERROR(INDEX(Q$8:Q$29,SMALL(IF(Q$8:Q$29&lt;&gt;"",ROW(Q$8:Q$29)-ROW(Q$8)+1),ROWS(R$26:R30))),"")</f>
        <v/>
      </c>
    </row>
    <row r="37" spans="3:20" x14ac:dyDescent="0.25">
      <c r="C37">
        <f>'IA - XL'!D38</f>
        <v>715</v>
      </c>
      <c r="D37" t="str">
        <f>'IA - XL'!B38</f>
        <v>Frame: 58 ----- Stem: Integrated w/15 ----- Aerobar: + 40 + bridge + 10 + 5</v>
      </c>
      <c r="E37">
        <f t="shared" si="2"/>
        <v>1</v>
      </c>
      <c r="F37" t="str">
        <f t="shared" si="3"/>
        <v/>
      </c>
      <c r="G37">
        <f t="shared" si="4"/>
        <v>1</v>
      </c>
      <c r="H37">
        <f t="shared" si="0"/>
        <v>-22</v>
      </c>
      <c r="I37">
        <f t="shared" si="1"/>
        <v>1</v>
      </c>
      <c r="J37" t="str">
        <f>'IA - XL'!G38</f>
        <v xml:space="preserve">Stem Bolts: 40mm -----  Aerobar Bolts: Top 45mm; Bottom 30mm </v>
      </c>
      <c r="K37" s="6">
        <v>1</v>
      </c>
      <c r="L37" t="s">
        <v>11</v>
      </c>
      <c r="O37" t="str">
        <f t="array" ref="O37">IFERROR(INDEX(O$8:O$29,SMALL(IF(O$8:O$29&lt;&gt;"",ROW(O$8:O$29)-ROW(O$8)+1),ROWS(P$32:P37))),"")</f>
        <v/>
      </c>
      <c r="P37" t="str">
        <f t="array" ref="P37">IFERROR(INDEX(P$8:P$29,SMALL(IF(P$8:P$29&lt;&gt;"",ROW(P$8:P$29)-ROW(P$8)+1),ROWS(Q$32:Q37))),"")</f>
        <v/>
      </c>
      <c r="Q37" t="str">
        <f t="array" ref="Q37">IFERROR(INDEX(Q$8:Q$29,SMALL(IF(Q$8:Q$29&lt;&gt;"",ROW(Q$8:Q$29)-ROW(Q$8)+1),ROWS(R$26:R31))),"")</f>
        <v/>
      </c>
      <c r="T37" s="1"/>
    </row>
    <row r="38" spans="3:20" x14ac:dyDescent="0.25">
      <c r="C38" s="6">
        <f>'IA - XL'!D39</f>
        <v>0</v>
      </c>
      <c r="D38" s="6" t="str">
        <f>'IA - XL'!B39</f>
        <v xml:space="preserve">Frame: 58 ----- Stem: Integrated w/30 ----- Aerobar: </v>
      </c>
      <c r="E38" s="6">
        <f t="shared" si="2"/>
        <v>1</v>
      </c>
      <c r="F38" s="6">
        <f t="shared" si="3"/>
        <v>1</v>
      </c>
      <c r="G38" s="6" t="str">
        <f t="shared" si="4"/>
        <v/>
      </c>
      <c r="H38" s="6">
        <f t="shared" si="0"/>
        <v>-22</v>
      </c>
      <c r="I38" s="6">
        <f t="shared" si="1"/>
        <v>1</v>
      </c>
      <c r="J38" s="6" t="str">
        <f>'IA - XL'!G39</f>
        <v xml:space="preserve">Stem Bolts: 55mm -----  Aerobar Bolts: Top N/A; Bottom N/A </v>
      </c>
      <c r="K38" s="6">
        <v>1</v>
      </c>
      <c r="L38" t="s">
        <v>11</v>
      </c>
      <c r="O38" t="str">
        <f t="array" ref="O38">IFERROR(INDEX(O$8:O$29,SMALL(IF(O$8:O$29&lt;&gt;"",ROW(O$8:O$29)-ROW(O$8)+1),ROWS(P$32:P38))),"")</f>
        <v/>
      </c>
      <c r="P38" t="str">
        <f t="array" ref="P38">IFERROR(INDEX(P$8:P$29,SMALL(IF(P$8:P$29&lt;&gt;"",ROW(P$8:P$29)-ROW(P$8)+1),ROWS(Q$32:Q38))),"")</f>
        <v/>
      </c>
      <c r="Q38" t="str">
        <f t="array" ref="Q38">IFERROR(INDEX(Q$8:Q$29,SMALL(IF(Q$8:Q$29&lt;&gt;"",ROW(Q$8:Q$29)-ROW(Q$8)+1),ROWS(R$26:R32))),"")</f>
        <v/>
      </c>
    </row>
    <row r="39" spans="3:20" x14ac:dyDescent="0.25">
      <c r="C39" s="6">
        <f>'IA - XL'!D40</f>
        <v>675</v>
      </c>
      <c r="D39" s="6" t="str">
        <f>'IA - XL'!B40</f>
        <v>Frame: 58 ----- Stem: Integrated w/30 ----- Aerobar: + 5</v>
      </c>
      <c r="E39" s="6">
        <f t="shared" si="2"/>
        <v>1</v>
      </c>
      <c r="F39" s="6">
        <f t="shared" si="3"/>
        <v>1</v>
      </c>
      <c r="G39" s="6" t="str">
        <f t="shared" si="4"/>
        <v/>
      </c>
      <c r="H39" s="6">
        <f t="shared" si="0"/>
        <v>-22</v>
      </c>
      <c r="I39" s="6">
        <f t="shared" si="1"/>
        <v>1</v>
      </c>
      <c r="J39" s="6" t="str">
        <f>'IA - XL'!G40</f>
        <v xml:space="preserve">Stem Bolts: 55mm -----  Aerobar Bolts: Top 45mm; Bottom N/A </v>
      </c>
      <c r="K39" s="6">
        <v>1</v>
      </c>
      <c r="L39" t="s">
        <v>11</v>
      </c>
      <c r="O39" t="str">
        <f t="array" ref="O39">IFERROR(INDEX(O$8:O$29,SMALL(IF(O$8:O$29&lt;&gt;"",ROW(O$8:O$29)-ROW(O$8)+1),ROWS(P$32:P39))),"")</f>
        <v/>
      </c>
      <c r="P39" t="str">
        <f t="array" ref="P39">IFERROR(INDEX(P$8:P$29,SMALL(IF(P$8:P$29&lt;&gt;"",ROW(P$8:P$29)-ROW(P$8)+1),ROWS(Q$32:Q39))),"")</f>
        <v/>
      </c>
      <c r="Q39" t="str">
        <f t="array" ref="Q39">IFERROR(INDEX(Q$8:Q$29,SMALL(IF(Q$8:Q$29&lt;&gt;"",ROW(Q$8:Q$29)-ROW(Q$8)+1),ROWS(R$26:R33))),"")</f>
        <v/>
      </c>
    </row>
    <row r="40" spans="3:20" x14ac:dyDescent="0.25">
      <c r="C40" s="6">
        <f>'IA - XL'!D41</f>
        <v>680</v>
      </c>
      <c r="D40" s="6" t="str">
        <f>'IA - XL'!B41</f>
        <v>Frame: 58 ----- Stem: Integrated w/30 ----- Aerobar: + 10</v>
      </c>
      <c r="E40" s="6">
        <f t="shared" si="2"/>
        <v>1</v>
      </c>
      <c r="F40" s="6">
        <f t="shared" si="3"/>
        <v>1</v>
      </c>
      <c r="G40" s="6" t="str">
        <f t="shared" si="4"/>
        <v/>
      </c>
      <c r="H40" s="6">
        <f t="shared" si="0"/>
        <v>-22</v>
      </c>
      <c r="I40" s="6">
        <f t="shared" si="1"/>
        <v>1</v>
      </c>
      <c r="J40" s="6" t="str">
        <f>'IA - XL'!G41</f>
        <v xml:space="preserve">Stem Bolts: 55mm -----  Aerobar Bolts: Top 50mm; Bottom N/A </v>
      </c>
      <c r="K40" s="6">
        <v>1</v>
      </c>
      <c r="L40" t="s">
        <v>11</v>
      </c>
      <c r="O40" t="str">
        <f t="array" ref="O40">IFERROR(INDEX(O$8:O$29,SMALL(IF(O$8:O$29&lt;&gt;"",ROW(O$8:O$29)-ROW(O$8)+1),ROWS(P$32:P40))),"")</f>
        <v/>
      </c>
      <c r="P40" t="str">
        <f t="array" ref="P40">IFERROR(INDEX(P$8:P$29,SMALL(IF(P$8:P$29&lt;&gt;"",ROW(P$8:P$29)-ROW(P$8)+1),ROWS(Q$32:Q40))),"")</f>
        <v/>
      </c>
      <c r="Q40" t="str">
        <f t="array" ref="Q40">IFERROR(INDEX(Q$8:Q$29,SMALL(IF(Q$8:Q$29&lt;&gt;"",ROW(Q$8:Q$29)-ROW(Q$8)+1),ROWS(R$26:R34))),"")</f>
        <v/>
      </c>
    </row>
    <row r="41" spans="3:20" x14ac:dyDescent="0.25">
      <c r="C41" s="6">
        <f>'IA - XL'!D42</f>
        <v>685</v>
      </c>
      <c r="D41" s="6" t="str">
        <f>'IA - XL'!B42</f>
        <v>Frame: 58 ----- Stem: Integrated w/30 ----- Aerobar: + 5 + 10</v>
      </c>
      <c r="E41" s="6">
        <f t="shared" si="2"/>
        <v>1</v>
      </c>
      <c r="F41" s="6">
        <f t="shared" si="3"/>
        <v>1</v>
      </c>
      <c r="G41" s="6" t="str">
        <f t="shared" si="4"/>
        <v/>
      </c>
      <c r="H41" s="6">
        <f t="shared" si="0"/>
        <v>-22</v>
      </c>
      <c r="I41" s="6">
        <f t="shared" si="1"/>
        <v>1</v>
      </c>
      <c r="J41" s="6" t="str">
        <f>'IA - XL'!G42</f>
        <v xml:space="preserve">Stem Bolts: 55mm -----  Aerobar Bolts: Top 55mm; Bottom N/A </v>
      </c>
      <c r="K41" s="6">
        <v>1</v>
      </c>
      <c r="L41" t="s">
        <v>11</v>
      </c>
      <c r="O41" t="str">
        <f t="array" ref="O41">IFERROR(INDEX(O$8:O$29,SMALL(IF(O$8:O$29&lt;&gt;"",ROW(O$8:O$29)-ROW(O$8)+1),ROWS(P$32:P41))),"")</f>
        <v/>
      </c>
      <c r="P41" t="str">
        <f t="array" ref="P41">IFERROR(INDEX(P$8:P$29,SMALL(IF(P$8:P$29&lt;&gt;"",ROW(P$8:P$29)-ROW(P$8)+1),ROWS(Q$32:Q41))),"")</f>
        <v/>
      </c>
      <c r="Q41" t="str">
        <f t="array" ref="Q41">IFERROR(INDEX(Q$8:Q$29,SMALL(IF(Q$8:Q$29&lt;&gt;"",ROW(Q$8:Q$29)-ROW(Q$8)+1),ROWS(R$26:R35))),"")</f>
        <v/>
      </c>
    </row>
    <row r="42" spans="3:20" x14ac:dyDescent="0.25">
      <c r="C42" s="6">
        <f>'IA - XL'!D43</f>
        <v>690</v>
      </c>
      <c r="D42" s="6" t="str">
        <f>'IA - XL'!B43</f>
        <v>Frame: 58 ----- Stem: Integrated w/30 ----- Aerobar: + 20</v>
      </c>
      <c r="E42" s="6">
        <f t="shared" si="2"/>
        <v>1</v>
      </c>
      <c r="F42" s="6">
        <f t="shared" si="3"/>
        <v>1</v>
      </c>
      <c r="G42" s="6" t="str">
        <f t="shared" si="4"/>
        <v/>
      </c>
      <c r="H42" s="6">
        <f t="shared" si="0"/>
        <v>-22</v>
      </c>
      <c r="I42" s="6">
        <f t="shared" si="1"/>
        <v>1</v>
      </c>
      <c r="J42" s="6" t="str">
        <f>'IA - XL'!G43</f>
        <v xml:space="preserve">Stem Bolts: 55mm -----  Aerobar Bolts: Top 20mm; Bottom 30mm </v>
      </c>
      <c r="K42" s="6">
        <v>1</v>
      </c>
      <c r="L42" t="s">
        <v>11</v>
      </c>
      <c r="O42" t="str">
        <f t="array" ref="O42">IFERROR(INDEX(O$8:O$29,SMALL(IF(O$8:O$29&lt;&gt;"",ROW(O$8:O$29)-ROW(O$8)+1),ROWS(P$32:P42))),"")</f>
        <v/>
      </c>
      <c r="P42" t="str">
        <f t="array" ref="P42">IFERROR(INDEX(P$8:P$29,SMALL(IF(P$8:P$29&lt;&gt;"",ROW(P$8:P$29)-ROW(P$8)+1),ROWS(Q$32:Q42))),"")</f>
        <v/>
      </c>
      <c r="Q42" t="str">
        <f t="array" ref="Q42">IFERROR(INDEX(Q$8:Q$29,SMALL(IF(Q$8:Q$29&lt;&gt;"",ROW(Q$8:Q$29)-ROW(Q$8)+1),ROWS(R$26:R36))),"")</f>
        <v/>
      </c>
    </row>
    <row r="43" spans="3:20" x14ac:dyDescent="0.25">
      <c r="C43" s="6">
        <f>'IA - XL'!D44</f>
        <v>695</v>
      </c>
      <c r="D43" s="6" t="str">
        <f>'IA - XL'!B44</f>
        <v>Frame: 58 ----- Stem: Integrated w/30 ----- Aerobar: + 20 + 5</v>
      </c>
      <c r="E43" s="6">
        <f t="shared" si="2"/>
        <v>1</v>
      </c>
      <c r="F43" s="6">
        <f t="shared" si="3"/>
        <v>1</v>
      </c>
      <c r="G43" s="6" t="str">
        <f t="shared" si="4"/>
        <v/>
      </c>
      <c r="H43" s="6">
        <f t="shared" si="0"/>
        <v>-22</v>
      </c>
      <c r="I43" s="6">
        <f t="shared" si="1"/>
        <v>1</v>
      </c>
      <c r="J43" s="6" t="str">
        <f>'IA - XL'!G44</f>
        <v xml:space="preserve">Stem Bolts: 55mm -----  Aerobar Bolts: Top 25mm; Bottom 30mm </v>
      </c>
      <c r="K43" s="6">
        <v>1</v>
      </c>
      <c r="L43" t="s">
        <v>11</v>
      </c>
      <c r="O43" t="str">
        <f t="array" ref="O43">IFERROR(INDEX(O$8:O$29,SMALL(IF(O$8:O$29&lt;&gt;"",ROW(O$8:O$29)-ROW(O$8)+1),ROWS(P$32:P43))),"")</f>
        <v/>
      </c>
      <c r="P43" t="str">
        <f t="array" ref="P43">IFERROR(INDEX(P$8:P$29,SMALL(IF(P$8:P$29&lt;&gt;"",ROW(P$8:P$29)-ROW(P$8)+1),ROWS(Q$32:Q43))),"")</f>
        <v/>
      </c>
      <c r="Q43" t="str">
        <f t="array" ref="Q43">IFERROR(INDEX(Q$8:Q$29,SMALL(IF(Q$8:Q$29&lt;&gt;"",ROW(Q$8:Q$29)-ROW(Q$8)+1),ROWS(R$26:R37))),"")</f>
        <v/>
      </c>
    </row>
    <row r="44" spans="3:20" x14ac:dyDescent="0.25">
      <c r="C44" s="6">
        <f>'IA - XL'!D45</f>
        <v>695</v>
      </c>
      <c r="D44" s="6" t="str">
        <f>'IA - XL'!B45</f>
        <v>Frame: 58 ----- Stem: Integrated w/30 ----- Aerobar: + 20 + bridge</v>
      </c>
      <c r="E44" s="6">
        <f t="shared" si="2"/>
        <v>1</v>
      </c>
      <c r="F44" s="6">
        <f t="shared" si="3"/>
        <v>1</v>
      </c>
      <c r="G44" s="6" t="str">
        <f t="shared" si="4"/>
        <v/>
      </c>
      <c r="H44" s="6">
        <f t="shared" si="0"/>
        <v>-22</v>
      </c>
      <c r="I44" s="6">
        <f t="shared" si="1"/>
        <v>1</v>
      </c>
      <c r="J44" s="6" t="str">
        <f>'IA - XL'!G45</f>
        <v xml:space="preserve">Stem Bolts: 55mm -----  Aerobar Bolts: Top 25mm; Bottom 30mm </v>
      </c>
      <c r="K44" s="6">
        <v>1</v>
      </c>
      <c r="L44" t="s">
        <v>11</v>
      </c>
      <c r="O44" t="str">
        <f t="array" ref="O44">IFERROR(INDEX(O$8:O$29,SMALL(IF(O$8:O$29&lt;&gt;"",ROW(O$8:O$29)-ROW(O$8)+1),ROWS(P$32:P44))),"")</f>
        <v/>
      </c>
      <c r="P44" t="str">
        <f t="array" ref="P44">IFERROR(INDEX(P$8:P$29,SMALL(IF(P$8:P$29&lt;&gt;"",ROW(P$8:P$29)-ROW(P$8)+1),ROWS(Q$32:Q44))),"")</f>
        <v/>
      </c>
      <c r="Q44" t="str">
        <f t="array" ref="Q44">IFERROR(INDEX(Q$8:Q$29,SMALL(IF(Q$8:Q$29&lt;&gt;"",ROW(Q$8:Q$29)-ROW(Q$8)+1),ROWS(R$26:R38))),"")</f>
        <v/>
      </c>
    </row>
    <row r="45" spans="3:20" x14ac:dyDescent="0.25">
      <c r="C45" s="6">
        <f>'IA - XL'!D46</f>
        <v>700</v>
      </c>
      <c r="D45" s="6" t="str">
        <f>'IA - XL'!B46</f>
        <v>Frame: 58 ----- Stem: Integrated w/30 ----- Aerobar: + 30</v>
      </c>
      <c r="E45" s="6">
        <f t="shared" si="2"/>
        <v>1</v>
      </c>
      <c r="F45" s="6">
        <f t="shared" si="3"/>
        <v>1</v>
      </c>
      <c r="G45" s="6" t="str">
        <f t="shared" si="4"/>
        <v/>
      </c>
      <c r="H45" s="6">
        <f t="shared" si="0"/>
        <v>-22</v>
      </c>
      <c r="I45" s="6">
        <f t="shared" si="1"/>
        <v>1</v>
      </c>
      <c r="J45" s="6" t="str">
        <f>'IA - XL'!G46</f>
        <v xml:space="preserve">Stem Bolts: 55mm -----  Aerobar Bolts: Top 25mm; Bottom 30mm </v>
      </c>
      <c r="K45" s="6">
        <v>1</v>
      </c>
      <c r="L45" t="s">
        <v>11</v>
      </c>
      <c r="O45" t="str">
        <f t="array" ref="O45">IFERROR(INDEX(O$8:O$29,SMALL(IF(O$8:O$29&lt;&gt;"",ROW(O$8:O$29)-ROW(O$8)+1),ROWS(P$32:P45))),"")</f>
        <v/>
      </c>
      <c r="P45" t="str">
        <f t="array" ref="P45">IFERROR(INDEX(P$8:P$29,SMALL(IF(P$8:P$29&lt;&gt;"",ROW(P$8:P$29)-ROW(P$8)+1),ROWS(Q$32:Q45))),"")</f>
        <v/>
      </c>
      <c r="Q45" t="str">
        <f t="array" ref="Q45">IFERROR(INDEX(Q$8:Q$29,SMALL(IF(Q$8:Q$29&lt;&gt;"",ROW(Q$8:Q$29)-ROW(Q$8)+1),ROWS(R$26:R39))),"")</f>
        <v/>
      </c>
      <c r="T45" s="1"/>
    </row>
    <row r="46" spans="3:20" x14ac:dyDescent="0.25">
      <c r="C46" s="6">
        <f>'IA - XL'!D47</f>
        <v>700</v>
      </c>
      <c r="D46" s="6" t="str">
        <f>'IA - XL'!B47</f>
        <v>Frame: 58 ----- Stem: Integrated w/30 ----- Aerobar: + 20 + bridge + 5</v>
      </c>
      <c r="E46" s="6">
        <f t="shared" si="2"/>
        <v>1</v>
      </c>
      <c r="F46" s="6">
        <f t="shared" si="3"/>
        <v>1</v>
      </c>
      <c r="G46" s="6" t="str">
        <f t="shared" si="4"/>
        <v/>
      </c>
      <c r="H46" s="6">
        <f t="shared" si="0"/>
        <v>-22</v>
      </c>
      <c r="I46" s="6">
        <f t="shared" si="1"/>
        <v>1</v>
      </c>
      <c r="J46" s="6" t="str">
        <f>'IA - XL'!G47</f>
        <v xml:space="preserve">Stem Bolts: 55mm -----  Aerobar Bolts: Top 30mm; Bottom 30mm </v>
      </c>
      <c r="K46" s="6">
        <v>1</v>
      </c>
      <c r="L46" t="s">
        <v>11</v>
      </c>
      <c r="N46" s="3" t="s">
        <v>51</v>
      </c>
      <c r="O46" t="str">
        <f t="array" ref="O46">IFERROR(INDEX(O$8:O$29,SMALL(IF(O$8:O$29&lt;&gt;"",ROW(O$8:O$29)-ROW(O$8)+1),ROWS(P$32:P46))),"")</f>
        <v/>
      </c>
      <c r="P46" t="str">
        <f t="array" ref="P46">IFERROR(INDEX(P$8:P$22,SMALL(IF(P$8:P$22&lt;&gt;"",ROW(P$8:P$22)-ROW(P$8)+1),ROWS(Q$32:Q46))),"")</f>
        <v/>
      </c>
      <c r="Q46" t="str">
        <f t="array" ref="Q46">IFERROR(INDEX(Q$8:Q$29,SMALL(IF(Q$8:Q$29&lt;&gt;"",ROW(Q$8:Q$29)-ROW(Q$8)+1),ROWS(R$26:R40))),"")</f>
        <v/>
      </c>
    </row>
    <row r="47" spans="3:20" x14ac:dyDescent="0.25">
      <c r="C47" s="6">
        <f>'IA - XL'!D48</f>
        <v>705</v>
      </c>
      <c r="D47" s="6" t="str">
        <f>'IA - XL'!B48</f>
        <v>Frame: 58 ----- Stem: Integrated w/30 ----- Aerobar: + 30 + bridge</v>
      </c>
      <c r="E47" s="6">
        <f t="shared" si="2"/>
        <v>1</v>
      </c>
      <c r="F47" s="6">
        <f t="shared" si="3"/>
        <v>1</v>
      </c>
      <c r="G47" s="6" t="str">
        <f t="shared" si="4"/>
        <v/>
      </c>
      <c r="H47" s="6">
        <f t="shared" si="0"/>
        <v>-22</v>
      </c>
      <c r="I47" s="6">
        <f t="shared" si="1"/>
        <v>1</v>
      </c>
      <c r="J47" s="6" t="str">
        <f>'IA - XL'!G48</f>
        <v xml:space="preserve">Stem Bolts: 55mm -----  Aerobar Bolts: Top 30mm; Bottom 30mm </v>
      </c>
      <c r="K47" s="6">
        <v>1</v>
      </c>
      <c r="L47" t="s">
        <v>11</v>
      </c>
      <c r="O47" s="1" t="s">
        <v>36</v>
      </c>
      <c r="Q47" t="str">
        <f t="array" ref="Q47">IFERROR(INDEX(Q$8:Q$22,SMALL(IF(Q$8:Q$22&lt;&gt;"",ROW(Q$8:Q$22)-ROW(Q$8)+1),ROWS(R$26:R41))),"")</f>
        <v/>
      </c>
    </row>
    <row r="48" spans="3:20" x14ac:dyDescent="0.25">
      <c r="C48" s="6">
        <f>'IA - XL'!D49</f>
        <v>710</v>
      </c>
      <c r="D48" s="6" t="str">
        <f>'IA - XL'!B49</f>
        <v>Frame: 58 ----- Stem: Integrated w/30 ----- Aerobar: + 30 + bridge + 5</v>
      </c>
      <c r="E48" s="6">
        <f t="shared" si="2"/>
        <v>1</v>
      </c>
      <c r="F48" s="6">
        <f t="shared" si="3"/>
        <v>1</v>
      </c>
      <c r="G48" s="6" t="str">
        <f t="shared" si="4"/>
        <v/>
      </c>
      <c r="H48" s="6">
        <f t="shared" si="0"/>
        <v>-22</v>
      </c>
      <c r="I48" s="6">
        <f t="shared" si="1"/>
        <v>1</v>
      </c>
      <c r="J48" s="6" t="str">
        <f>'IA - XL'!G49</f>
        <v xml:space="preserve">Stem Bolts: 55mm -----  Aerobar Bolts: Top 35mm; Bottom 30mm </v>
      </c>
      <c r="K48" s="6">
        <v>1</v>
      </c>
      <c r="L48" t="s">
        <v>11</v>
      </c>
      <c r="O48" s="1" t="s">
        <v>25</v>
      </c>
      <c r="P48" s="1" t="s">
        <v>26</v>
      </c>
      <c r="Q48" s="1" t="s">
        <v>27</v>
      </c>
    </row>
    <row r="49" spans="3:17" x14ac:dyDescent="0.25">
      <c r="C49" s="6">
        <f>'IA - XL'!D50</f>
        <v>715</v>
      </c>
      <c r="D49" s="6" t="str">
        <f>'IA - XL'!B50</f>
        <v>Frame: 58 ----- Stem: Integrated w/30 ----- Aerobar: + 40 + bridge</v>
      </c>
      <c r="E49" s="6">
        <f t="shared" si="2"/>
        <v>1</v>
      </c>
      <c r="F49" s="6">
        <f t="shared" si="3"/>
        <v>1</v>
      </c>
      <c r="G49" s="6">
        <f t="shared" si="4"/>
        <v>1</v>
      </c>
      <c r="H49" s="6">
        <f t="shared" si="0"/>
        <v>-22</v>
      </c>
      <c r="I49" s="6">
        <f t="shared" si="1"/>
        <v>1</v>
      </c>
      <c r="J49" s="6" t="str">
        <f>'IA - XL'!G50</f>
        <v xml:space="preserve">Stem Bolts: 55mm -----  Aerobar Bolts: Top 35mm; Bottom 30mm </v>
      </c>
      <c r="K49" s="6">
        <v>1</v>
      </c>
      <c r="L49" t="s">
        <v>11</v>
      </c>
      <c r="O49" s="2" t="str">
        <f t="shared" ref="O49:Q58" si="10">IF(O32="","",TEXT(O32,0)&amp;"  with reach: "&amp;IFERROR(VLOOKUP(O32,$D$8:$H$382,5,FALSE)&amp;" mm",""))</f>
        <v>Frame: 51 ----- Stem: Integrated ----- Aerobar:+ 5 + 10  with reach: 36 mm</v>
      </c>
      <c r="P49" t="str">
        <f t="shared" si="10"/>
        <v>Frame: 48 ----- Stem: Integrated w/15 ----- Aerobar: + 30  with reach: 44 mm</v>
      </c>
      <c r="Q49" t="str">
        <f t="shared" si="10"/>
        <v>Frame: 48 ----- Stem: Integrated ----- Aerobar:+ 40 + bridge  with reach: 44 mm</v>
      </c>
    </row>
    <row r="50" spans="3:17" x14ac:dyDescent="0.25">
      <c r="C50" s="6">
        <f>'IA - XL'!D51</f>
        <v>720</v>
      </c>
      <c r="D50" s="6" t="str">
        <f>'IA - XL'!B51</f>
        <v>Frame: 58 ----- Stem: Integrated w/30 ----- Aerobar: + 40 + bridge + 5</v>
      </c>
      <c r="E50" s="6">
        <f t="shared" si="2"/>
        <v>1</v>
      </c>
      <c r="F50" s="6">
        <f t="shared" si="3"/>
        <v>1</v>
      </c>
      <c r="G50" s="6">
        <f t="shared" si="4"/>
        <v>1</v>
      </c>
      <c r="H50" s="6">
        <f t="shared" si="0"/>
        <v>-22</v>
      </c>
      <c r="I50" s="6">
        <f t="shared" si="1"/>
        <v>1</v>
      </c>
      <c r="J50" s="6" t="str">
        <f>'IA - XL'!G51</f>
        <v xml:space="preserve">Stem Bolts: 55mm -----  Aerobar Bolts: Top 35mm; Bottom 30mm </v>
      </c>
      <c r="K50" s="6">
        <v>1</v>
      </c>
      <c r="L50" t="s">
        <v>11</v>
      </c>
      <c r="O50" s="2" t="str">
        <f t="shared" si="10"/>
        <v>Frame: 48 ----- Stem: Integrated w/15 ----- Aerobar: + 20 + bridge + 5  with reach: 44 mm</v>
      </c>
      <c r="P50" t="str">
        <f t="shared" si="10"/>
        <v>Frame: 48 ----- Stem: Integrated w/30 ----- Aerobar: + 5 + 10  with reach: 44 mm</v>
      </c>
      <c r="Q50" t="str">
        <f t="shared" si="10"/>
        <v>Frame: 48 ----- Stem: 31.8 ----- Carbon Aerobar: + 40 + bridge + 10  with reach: -1 mm</v>
      </c>
    </row>
    <row r="51" spans="3:17" x14ac:dyDescent="0.25">
      <c r="C51" s="6">
        <f>'IA - XL'!D52</f>
        <v>725</v>
      </c>
      <c r="D51" s="6" t="str">
        <f>'IA - XL'!B52</f>
        <v>Frame: 58 ----- Stem: Integrated w/30 ----- Aerobar: + 40 + bridge + 10</v>
      </c>
      <c r="E51" s="6">
        <f t="shared" si="2"/>
        <v>1</v>
      </c>
      <c r="F51" s="6">
        <f t="shared" si="3"/>
        <v>1</v>
      </c>
      <c r="G51" s="6">
        <f t="shared" si="4"/>
        <v>1</v>
      </c>
      <c r="H51" s="6">
        <f t="shared" si="0"/>
        <v>-22</v>
      </c>
      <c r="I51" s="6">
        <f t="shared" si="1"/>
        <v>1</v>
      </c>
      <c r="J51" s="6" t="str">
        <f>'IA - XL'!G52</f>
        <v xml:space="preserve">Stem Bolts: 55mm -----  Aerobar Bolts: Top 40mm; Bottom 30mm </v>
      </c>
      <c r="K51" s="6">
        <v>1</v>
      </c>
      <c r="L51" t="s">
        <v>11</v>
      </c>
      <c r="O51" s="2" t="str">
        <f t="shared" si="10"/>
        <v>Frame: 54 ----- Stem: 31.8 ----- Carbon Aerobar: + 10  with reach: -25 mm</v>
      </c>
      <c r="P51" t="str">
        <f t="shared" si="10"/>
        <v>Frame: 51 ----- Stem: 31.8 ----- Carbon Aerobar: + 30  with reach: -9 mm</v>
      </c>
      <c r="Q51" t="str">
        <f t="shared" si="10"/>
        <v/>
      </c>
    </row>
    <row r="52" spans="3:17" x14ac:dyDescent="0.25">
      <c r="C52" s="6">
        <f>'IA - XL'!D53</f>
        <v>730</v>
      </c>
      <c r="D52" s="6" t="str">
        <f>'IA - XL'!B53</f>
        <v>Frame: 58 ----- Stem: Integrated w/30 ----- Aerobar: + 40 + bridge + 10 + 5</v>
      </c>
      <c r="E52" s="6">
        <f t="shared" si="2"/>
        <v>1</v>
      </c>
      <c r="F52" s="6">
        <f t="shared" si="3"/>
        <v>1</v>
      </c>
      <c r="G52" s="6">
        <f t="shared" si="4"/>
        <v>1</v>
      </c>
      <c r="H52" s="6">
        <f t="shared" si="0"/>
        <v>-22</v>
      </c>
      <c r="I52" s="6">
        <f t="shared" si="1"/>
        <v>1</v>
      </c>
      <c r="J52" s="6" t="str">
        <f>'IA - XL'!G53</f>
        <v xml:space="preserve">Stem Bolts: 55mm -----  Aerobar Bolts: Top 45mm; Bottom 30mm </v>
      </c>
      <c r="K52" s="6">
        <v>1</v>
      </c>
      <c r="L52" t="s">
        <v>11</v>
      </c>
      <c r="O52" s="2" t="str">
        <f t="shared" si="10"/>
        <v>Frame: 51 ----- Stem: 31.8 ----- Carbon Aerobar: + 20 + bridge + 5  with reach: -9 mm</v>
      </c>
      <c r="P52" t="str">
        <f t="shared" si="10"/>
        <v>Frame: 48 ----- Stem: 31.8 ----- Alloy Aerobar: + 30 + bridge + 5  with reach: 1 mm</v>
      </c>
      <c r="Q52" t="str">
        <f t="shared" si="10"/>
        <v/>
      </c>
    </row>
    <row r="53" spans="3:17" x14ac:dyDescent="0.25">
      <c r="C53">
        <f>'IA - Large'!D9</f>
        <v>0</v>
      </c>
      <c r="D53" t="str">
        <f>'IA - Large'!B9</f>
        <v>Frame: 56----- Stem: Integrated ----- Aerobar:</v>
      </c>
      <c r="E53">
        <f t="shared" ref="E53:E97" si="11">$W$8*$X$8</f>
        <v>1</v>
      </c>
      <c r="F53" t="str">
        <f t="shared" si="3"/>
        <v/>
      </c>
      <c r="G53" t="str">
        <f t="shared" si="4"/>
        <v/>
      </c>
      <c r="H53">
        <f t="shared" ref="H53:H97" si="12">$E$4-$U$23</f>
        <v>0</v>
      </c>
      <c r="I53">
        <f t="shared" ref="I53:I97" si="13">$AC$8</f>
        <v>1</v>
      </c>
      <c r="J53" t="str">
        <f>'IA - Large'!G9</f>
        <v xml:space="preserve">Stem Bolts: 25mm -----  Aerobar Bolts: Top N/A; Bottom N/A </v>
      </c>
      <c r="K53" s="6">
        <v>1</v>
      </c>
      <c r="L53" t="s">
        <v>11</v>
      </c>
      <c r="O53" s="2" t="str">
        <f t="shared" si="10"/>
        <v>Frame: 51 ----- Stem: 31.8 ----- Alloy Aerobar: + 5 + 10  with reach: -7 mm</v>
      </c>
      <c r="P53" t="str">
        <f t="shared" si="10"/>
        <v/>
      </c>
      <c r="Q53" t="str">
        <f t="shared" si="10"/>
        <v/>
      </c>
    </row>
    <row r="54" spans="3:17" x14ac:dyDescent="0.25">
      <c r="C54">
        <f>'IA - Large'!D10</f>
        <v>620</v>
      </c>
      <c r="D54" t="str">
        <f>'IA - Large'!B10</f>
        <v>Frame: 56 ----- Stem: Integrated ----- Aerobar:+ 5</v>
      </c>
      <c r="E54">
        <f t="shared" si="11"/>
        <v>1</v>
      </c>
      <c r="F54" t="str">
        <f t="shared" si="3"/>
        <v/>
      </c>
      <c r="G54" t="str">
        <f t="shared" si="4"/>
        <v/>
      </c>
      <c r="H54">
        <f t="shared" si="12"/>
        <v>0</v>
      </c>
      <c r="I54">
        <f t="shared" si="13"/>
        <v>1</v>
      </c>
      <c r="J54" t="str">
        <f>'IA - Large'!G10</f>
        <v xml:space="preserve">Stem Bolts: 25mm -----  Aerobar Bolts: Top 45mm; Bottom N/A </v>
      </c>
      <c r="K54" s="6">
        <v>1</v>
      </c>
      <c r="L54" t="s">
        <v>11</v>
      </c>
      <c r="O54" s="2" t="str">
        <f t="shared" si="10"/>
        <v/>
      </c>
      <c r="P54" t="str">
        <f t="shared" si="10"/>
        <v/>
      </c>
      <c r="Q54" t="str">
        <f t="shared" si="10"/>
        <v/>
      </c>
    </row>
    <row r="55" spans="3:17" x14ac:dyDescent="0.25">
      <c r="C55">
        <f>'IA - Large'!D11</f>
        <v>625</v>
      </c>
      <c r="D55" t="str">
        <f>'IA - Large'!B11</f>
        <v>Frame: 56 ----- Stem: Integrated ----- Aerobar:+ 10</v>
      </c>
      <c r="E55">
        <f t="shared" si="11"/>
        <v>1</v>
      </c>
      <c r="F55" t="str">
        <f t="shared" si="3"/>
        <v/>
      </c>
      <c r="G55" t="str">
        <f t="shared" si="4"/>
        <v/>
      </c>
      <c r="H55">
        <f t="shared" si="12"/>
        <v>0</v>
      </c>
      <c r="I55">
        <f t="shared" si="13"/>
        <v>1</v>
      </c>
      <c r="J55" t="str">
        <f>'IA - Large'!G11</f>
        <v xml:space="preserve">Stem Bolts: 25mm -----  Aerobar Bolts: Top 50mm; Bottom N/A </v>
      </c>
      <c r="K55" s="6">
        <v>1</v>
      </c>
      <c r="L55" t="s">
        <v>11</v>
      </c>
      <c r="O55" s="2" t="str">
        <f t="shared" si="10"/>
        <v/>
      </c>
      <c r="P55" t="str">
        <f t="shared" si="10"/>
        <v/>
      </c>
      <c r="Q55" t="str">
        <f t="shared" si="10"/>
        <v/>
      </c>
    </row>
    <row r="56" spans="3:17" x14ac:dyDescent="0.25">
      <c r="C56">
        <f>'IA - Large'!D12</f>
        <v>630</v>
      </c>
      <c r="D56" t="str">
        <f>'IA - Large'!B12</f>
        <v>Frame: 56 ----- Stem: Integrated ----- Aerobar:+ 5 + 10</v>
      </c>
      <c r="E56">
        <f t="shared" si="11"/>
        <v>1</v>
      </c>
      <c r="F56" t="str">
        <f t="shared" si="3"/>
        <v/>
      </c>
      <c r="G56" t="str">
        <f t="shared" si="4"/>
        <v/>
      </c>
      <c r="H56">
        <f t="shared" si="12"/>
        <v>0</v>
      </c>
      <c r="I56">
        <f t="shared" si="13"/>
        <v>1</v>
      </c>
      <c r="J56" t="str">
        <f>'IA - Large'!G12</f>
        <v xml:space="preserve">Stem Bolts: 25mm -----  Aerobar Bolts: Top 55mm; Bottom N/A </v>
      </c>
      <c r="K56" s="6">
        <v>1</v>
      </c>
      <c r="L56" t="s">
        <v>11</v>
      </c>
      <c r="O56" s="2" t="str">
        <f t="shared" si="10"/>
        <v/>
      </c>
      <c r="P56" t="str">
        <f t="shared" si="10"/>
        <v/>
      </c>
      <c r="Q56" t="str">
        <f t="shared" si="10"/>
        <v/>
      </c>
    </row>
    <row r="57" spans="3:17" x14ac:dyDescent="0.25">
      <c r="C57">
        <f>'IA - Large'!D13</f>
        <v>635</v>
      </c>
      <c r="D57" t="str">
        <f>'IA - Large'!B13</f>
        <v>Frame: 56 ----- Stem: Integrated ----- Aerobar:+ 20</v>
      </c>
      <c r="E57">
        <f t="shared" si="11"/>
        <v>1</v>
      </c>
      <c r="F57" t="str">
        <f t="shared" si="3"/>
        <v/>
      </c>
      <c r="G57" t="str">
        <f t="shared" si="4"/>
        <v/>
      </c>
      <c r="H57">
        <f t="shared" si="12"/>
        <v>0</v>
      </c>
      <c r="I57">
        <f t="shared" si="13"/>
        <v>1</v>
      </c>
      <c r="J57" t="str">
        <f>'IA - Large'!G13</f>
        <v xml:space="preserve">Stem Bolts: 25mm -----  Aerobar Bolts: Top 20mm; Bottom 30mm </v>
      </c>
      <c r="K57" s="6">
        <v>1</v>
      </c>
      <c r="L57" t="s">
        <v>11</v>
      </c>
      <c r="O57" s="2" t="str">
        <f t="shared" si="10"/>
        <v/>
      </c>
      <c r="P57" t="str">
        <f t="shared" si="10"/>
        <v/>
      </c>
      <c r="Q57" t="str">
        <f t="shared" si="10"/>
        <v/>
      </c>
    </row>
    <row r="58" spans="3:17" x14ac:dyDescent="0.25">
      <c r="C58">
        <f>'IA - Large'!D14</f>
        <v>640</v>
      </c>
      <c r="D58" t="str">
        <f>'IA - Large'!B14</f>
        <v>Frame: 56 ----- Stem: Integrated ----- Aerobar:+ 20 + 5</v>
      </c>
      <c r="E58">
        <f t="shared" si="11"/>
        <v>1</v>
      </c>
      <c r="F58" t="str">
        <f t="shared" si="3"/>
        <v/>
      </c>
      <c r="G58" t="str">
        <f t="shared" si="4"/>
        <v/>
      </c>
      <c r="H58">
        <f t="shared" si="12"/>
        <v>0</v>
      </c>
      <c r="I58">
        <f t="shared" si="13"/>
        <v>1</v>
      </c>
      <c r="J58" t="str">
        <f>'IA - Large'!G14</f>
        <v xml:space="preserve">Stem Bolts: 25mm -----  Aerobar Bolts: Top 25mm; Bottom 30mm </v>
      </c>
      <c r="K58" s="6">
        <v>1</v>
      </c>
      <c r="L58" t="s">
        <v>11</v>
      </c>
      <c r="O58" s="2" t="str">
        <f t="shared" si="10"/>
        <v/>
      </c>
      <c r="P58" t="str">
        <f t="shared" si="10"/>
        <v/>
      </c>
      <c r="Q58" t="str">
        <f t="shared" si="10"/>
        <v/>
      </c>
    </row>
    <row r="59" spans="3:17" x14ac:dyDescent="0.25">
      <c r="C59">
        <f>'IA - Large'!D15</f>
        <v>640</v>
      </c>
      <c r="D59" t="str">
        <f>'IA - Large'!B15</f>
        <v>Frame: 56 ----- Stem: Integrated ----- Aerobar:+ 20 + bridge</v>
      </c>
      <c r="E59">
        <f t="shared" si="11"/>
        <v>1</v>
      </c>
      <c r="F59" t="str">
        <f t="shared" si="3"/>
        <v/>
      </c>
      <c r="G59" t="str">
        <f t="shared" si="4"/>
        <v/>
      </c>
      <c r="H59">
        <f t="shared" si="12"/>
        <v>0</v>
      </c>
      <c r="I59">
        <f t="shared" si="13"/>
        <v>1</v>
      </c>
      <c r="J59" t="str">
        <f>'IA - Large'!G15</f>
        <v xml:space="preserve">Stem Bolts: 25mm -----  Aerobar Bolts: Top 25mm; Bottom 30mm </v>
      </c>
      <c r="K59" s="6">
        <v>1</v>
      </c>
      <c r="L59" t="s">
        <v>11</v>
      </c>
      <c r="O59" s="2" t="str">
        <f t="shared" ref="O59:Q60" si="14">IF(O42="","",TEXT(O42,0)&amp;"  with reach: "&amp;IFERROR(VLOOKUP(O42,$D$8:$H$382,5,FALSE)&amp;" mm",""))</f>
        <v/>
      </c>
      <c r="P59" t="str">
        <f t="shared" si="14"/>
        <v/>
      </c>
      <c r="Q59" t="str">
        <f t="shared" si="14"/>
        <v/>
      </c>
    </row>
    <row r="60" spans="3:17" x14ac:dyDescent="0.25">
      <c r="C60">
        <f>'IA - Large'!D16</f>
        <v>645</v>
      </c>
      <c r="D60" t="str">
        <f>'IA - Large'!B16</f>
        <v>Frame: 56 ----- Stem: Integrated ----- Aerobar:+ 30</v>
      </c>
      <c r="E60">
        <f t="shared" si="11"/>
        <v>1</v>
      </c>
      <c r="F60">
        <f t="shared" si="3"/>
        <v>1</v>
      </c>
      <c r="G60" t="str">
        <f t="shared" si="4"/>
        <v/>
      </c>
      <c r="H60">
        <f t="shared" si="12"/>
        <v>0</v>
      </c>
      <c r="I60">
        <f t="shared" si="13"/>
        <v>1</v>
      </c>
      <c r="J60" t="str">
        <f>'IA - Large'!G16</f>
        <v xml:space="preserve">Stem Bolts: 25mm -----  Aerobar Bolts: Top 25mm; Bottom 30mm </v>
      </c>
      <c r="K60" s="6">
        <v>1</v>
      </c>
      <c r="L60" t="s">
        <v>11</v>
      </c>
      <c r="O60" s="2" t="str">
        <f t="shared" si="14"/>
        <v/>
      </c>
      <c r="P60" t="str">
        <f t="shared" si="14"/>
        <v/>
      </c>
      <c r="Q60" t="str">
        <f t="shared" si="14"/>
        <v/>
      </c>
    </row>
    <row r="61" spans="3:17" x14ac:dyDescent="0.25">
      <c r="C61">
        <f>'IA - Large'!D17</f>
        <v>645</v>
      </c>
      <c r="D61" t="str">
        <f>'IA - Large'!B17</f>
        <v>Frame: 56 ----- Stem: Integrated ----- Aerobar:+ 20 + bridge + 5</v>
      </c>
      <c r="E61">
        <f t="shared" si="11"/>
        <v>1</v>
      </c>
      <c r="F61" t="str">
        <f t="shared" si="3"/>
        <v/>
      </c>
      <c r="G61" t="str">
        <f t="shared" si="4"/>
        <v/>
      </c>
      <c r="H61">
        <f t="shared" si="12"/>
        <v>0</v>
      </c>
      <c r="I61">
        <f t="shared" si="13"/>
        <v>1</v>
      </c>
      <c r="J61" t="str">
        <f>'IA - Large'!G17</f>
        <v xml:space="preserve">Stem Bolts: 25mm -----  Aerobar Bolts: Top 30mm; Bottom 30mm </v>
      </c>
      <c r="K61" s="6">
        <v>1</v>
      </c>
      <c r="L61" t="s">
        <v>11</v>
      </c>
      <c r="N61" s="3" t="s">
        <v>51</v>
      </c>
    </row>
    <row r="62" spans="3:17" x14ac:dyDescent="0.25">
      <c r="C62">
        <f>'IA - Large'!D18</f>
        <v>650</v>
      </c>
      <c r="D62" t="str">
        <f>'IA - Large'!B18</f>
        <v>Frame: 56 ----- Stem: Integrated ----- Aerobar:+ 30 + bridge</v>
      </c>
      <c r="E62">
        <f t="shared" si="11"/>
        <v>1</v>
      </c>
      <c r="F62">
        <f t="shared" si="3"/>
        <v>1</v>
      </c>
      <c r="G62" t="str">
        <f t="shared" si="4"/>
        <v/>
      </c>
      <c r="H62">
        <f t="shared" si="12"/>
        <v>0</v>
      </c>
      <c r="I62">
        <f t="shared" si="13"/>
        <v>1</v>
      </c>
      <c r="J62" t="str">
        <f>'IA - Large'!G18</f>
        <v xml:space="preserve">Stem Bolts: 25mm -----  Aerobar Bolts: Top 30mm; Bottom 30mm </v>
      </c>
      <c r="K62" s="6">
        <v>1</v>
      </c>
      <c r="L62" t="s">
        <v>11</v>
      </c>
      <c r="O62" s="1" t="s">
        <v>52</v>
      </c>
    </row>
    <row r="63" spans="3:17" x14ac:dyDescent="0.25">
      <c r="C63">
        <f>'IA - Large'!D19</f>
        <v>655</v>
      </c>
      <c r="D63" t="str">
        <f>'IA - Large'!B19</f>
        <v>Frame: 56 ----- Stem: Integrated ----- Aerobar:+ 30 + bridge + 5</v>
      </c>
      <c r="E63">
        <f t="shared" si="11"/>
        <v>1</v>
      </c>
      <c r="F63">
        <f t="shared" si="3"/>
        <v>1</v>
      </c>
      <c r="G63" t="str">
        <f t="shared" si="4"/>
        <v/>
      </c>
      <c r="H63">
        <f t="shared" si="12"/>
        <v>0</v>
      </c>
      <c r="I63">
        <f t="shared" si="13"/>
        <v>1</v>
      </c>
      <c r="J63" t="str">
        <f>'IA - Large'!G19</f>
        <v xml:space="preserve">Stem Bolts: 25mm -----  Aerobar Bolts: Top 35mm; Bottom 30mm </v>
      </c>
      <c r="K63" s="6">
        <v>1</v>
      </c>
      <c r="L63" t="s">
        <v>11</v>
      </c>
      <c r="O63" s="1" t="s">
        <v>25</v>
      </c>
      <c r="P63" s="1" t="s">
        <v>26</v>
      </c>
      <c r="Q63" s="1" t="s">
        <v>27</v>
      </c>
    </row>
    <row r="64" spans="3:17" x14ac:dyDescent="0.25">
      <c r="C64">
        <f>'IA - Large'!D20</f>
        <v>660</v>
      </c>
      <c r="D64" t="str">
        <f>'IA - Large'!B20</f>
        <v>Frame: 56 ----- Stem: Integrated ----- Aerobar:+ 40 + bridge</v>
      </c>
      <c r="E64">
        <f t="shared" si="11"/>
        <v>1</v>
      </c>
      <c r="F64" t="str">
        <f t="shared" si="3"/>
        <v/>
      </c>
      <c r="G64">
        <f t="shared" si="4"/>
        <v>1</v>
      </c>
      <c r="H64">
        <f t="shared" si="12"/>
        <v>0</v>
      </c>
      <c r="I64">
        <f t="shared" si="13"/>
        <v>1</v>
      </c>
      <c r="J64" t="str">
        <f>'IA - Large'!G20</f>
        <v xml:space="preserve">Stem Bolts: 25mm -----  Aerobar Bolts: Top 35mm; Bottom 30mm </v>
      </c>
      <c r="K64" s="6">
        <v>1</v>
      </c>
      <c r="L64" t="s">
        <v>11</v>
      </c>
      <c r="O64" t="str">
        <f t="shared" ref="O64:Q73" si="15">IFERROR(VLOOKUP(O32,$D$8:$J$382,7,FALSE),"")</f>
        <v xml:space="preserve">Stem Bolts: 25mm -----  Aerobar Bolts: Top 55mm; Bottom N/A </v>
      </c>
      <c r="P64" t="str">
        <f t="shared" si="15"/>
        <v xml:space="preserve">Stem Bolts: 40mm -----  Aerobar Bolts: Top 25mm; Bottom 30mm </v>
      </c>
      <c r="Q64" t="str">
        <f t="shared" si="15"/>
        <v xml:space="preserve">Stem Bolts: 25mm -----  Aerobar Bolts: Top 35mm; Bottom 30mm </v>
      </c>
    </row>
    <row r="65" spans="3:21" x14ac:dyDescent="0.25">
      <c r="C65">
        <f>'IA - Large'!D21</f>
        <v>665</v>
      </c>
      <c r="D65" t="str">
        <f>'IA - Large'!B21</f>
        <v>Frame: 56 ----- Stem: Integrated ----- Aerobar:+ 40 + bridge + 5</v>
      </c>
      <c r="E65">
        <f t="shared" si="11"/>
        <v>1</v>
      </c>
      <c r="F65" t="str">
        <f t="shared" si="3"/>
        <v/>
      </c>
      <c r="G65">
        <f t="shared" si="4"/>
        <v>1</v>
      </c>
      <c r="H65">
        <f t="shared" si="12"/>
        <v>0</v>
      </c>
      <c r="I65">
        <f t="shared" si="13"/>
        <v>1</v>
      </c>
      <c r="J65" t="str">
        <f>'IA - Large'!G21</f>
        <v xml:space="preserve">Stem Bolts: 25mm -----  Aerobar Bolts: Top 35mm; Bottom 30mm </v>
      </c>
      <c r="K65" s="6">
        <v>1</v>
      </c>
      <c r="L65" t="s">
        <v>11</v>
      </c>
      <c r="O65" t="str">
        <f t="shared" si="15"/>
        <v xml:space="preserve">Stem Bolts: 40mm -----  Aerobar Bolts: Top 30mm; Bottom 30mm </v>
      </c>
      <c r="P65" t="str">
        <f t="shared" si="15"/>
        <v xml:space="preserve">Stem Bolts: 55mm -----  Aerobar Bolts: Top 55mm; Bottom N/A </v>
      </c>
      <c r="Q65" t="str">
        <f t="shared" si="15"/>
        <v xml:space="preserve">Stem Bolts: N/A -----  Aerobar Bolts: Top 40mm; Bottom 30mm </v>
      </c>
    </row>
    <row r="66" spans="3:21" x14ac:dyDescent="0.25">
      <c r="C66">
        <f>'IA - Large'!D22</f>
        <v>670</v>
      </c>
      <c r="D66" t="str">
        <f>'IA - Large'!B22</f>
        <v>Frame: 56 ----- Stem: Integrated ----- Aerobar:+ 40 + bridge + 10</v>
      </c>
      <c r="E66">
        <f t="shared" si="11"/>
        <v>1</v>
      </c>
      <c r="F66" t="str">
        <f t="shared" si="3"/>
        <v/>
      </c>
      <c r="G66">
        <f t="shared" si="4"/>
        <v>1</v>
      </c>
      <c r="H66">
        <f t="shared" si="12"/>
        <v>0</v>
      </c>
      <c r="I66">
        <f t="shared" si="13"/>
        <v>1</v>
      </c>
      <c r="J66" t="str">
        <f>'IA - Large'!G22</f>
        <v xml:space="preserve">Stem Bolts: 25mm -----  Aerobar Bolts: Top 40mm; Bottom 30mm </v>
      </c>
      <c r="K66" s="6">
        <v>1</v>
      </c>
      <c r="L66" t="s">
        <v>11</v>
      </c>
      <c r="O66" t="str">
        <f t="shared" si="15"/>
        <v xml:space="preserve">Stem Bolts: N/A -----  Aerobar Bolts: Top 50mm; Bottom N/A </v>
      </c>
      <c r="P66" t="str">
        <f t="shared" si="15"/>
        <v xml:space="preserve">Stem Bolts: N/A -----  Aerobar Bolts: Top 25mm; Bottom 30mm </v>
      </c>
      <c r="Q66" t="str">
        <f t="shared" si="15"/>
        <v/>
      </c>
    </row>
    <row r="67" spans="3:21" x14ac:dyDescent="0.25">
      <c r="C67">
        <f>'IA - Large'!D23</f>
        <v>675</v>
      </c>
      <c r="D67" t="str">
        <f>'IA - Large'!B23</f>
        <v>Frame: 56 ----- Stem: Integrated ----- Aerobar:+ 40 + bridge + 10 + 5</v>
      </c>
      <c r="E67">
        <f t="shared" si="11"/>
        <v>1</v>
      </c>
      <c r="F67" t="str">
        <f t="shared" si="3"/>
        <v/>
      </c>
      <c r="G67">
        <f t="shared" si="4"/>
        <v>1</v>
      </c>
      <c r="H67">
        <f t="shared" si="12"/>
        <v>0</v>
      </c>
      <c r="I67">
        <f t="shared" si="13"/>
        <v>1</v>
      </c>
      <c r="J67" t="str">
        <f>'IA - Large'!G23</f>
        <v xml:space="preserve">Stem Bolts: 25mm -----  Aerobar Bolts: Top 45mm; Bottom 30mm </v>
      </c>
      <c r="K67" s="6">
        <v>1</v>
      </c>
      <c r="L67" t="s">
        <v>11</v>
      </c>
      <c r="O67" t="str">
        <f t="shared" si="15"/>
        <v xml:space="preserve">Stem Bolts: N/A -----  Aerobar Bolts: Top 30mm; Bottom 30mm </v>
      </c>
      <c r="P67" t="str">
        <f t="shared" si="15"/>
        <v xml:space="preserve">Stem Bolts: N/A -----  Aerobar Bolts: Top 30mm; Bottom 15mm </v>
      </c>
      <c r="Q67" t="str">
        <f t="shared" si="15"/>
        <v/>
      </c>
    </row>
    <row r="68" spans="3:21" x14ac:dyDescent="0.25">
      <c r="C68" s="6">
        <f>'IA - Large'!D24</f>
        <v>0</v>
      </c>
      <c r="D68" s="6" t="str">
        <f>'IA - Large'!B24</f>
        <v xml:space="preserve">Frame: 56 ----- Stem: Integrated w/15 ----- Aerobar: </v>
      </c>
      <c r="E68" s="6">
        <f t="shared" si="11"/>
        <v>1</v>
      </c>
      <c r="F68" s="6" t="str">
        <f t="shared" si="3"/>
        <v/>
      </c>
      <c r="G68" s="6" t="str">
        <f t="shared" si="4"/>
        <v/>
      </c>
      <c r="H68" s="6">
        <f t="shared" si="12"/>
        <v>0</v>
      </c>
      <c r="I68" s="6">
        <f t="shared" si="13"/>
        <v>1</v>
      </c>
      <c r="J68" s="6" t="str">
        <f>'IA - Large'!G24</f>
        <v xml:space="preserve">Stem Bolts: 40mm -----  Aerobar Bolts: Top N/A; Bottom N/A </v>
      </c>
      <c r="K68" s="6">
        <v>1</v>
      </c>
      <c r="L68" t="s">
        <v>11</v>
      </c>
      <c r="O68" t="str">
        <f t="shared" si="15"/>
        <v xml:space="preserve">Stem Bolts: N/A -----  Aerobar Bolts: Top 35mm; Bottom N/A </v>
      </c>
      <c r="P68" t="str">
        <f t="shared" si="15"/>
        <v/>
      </c>
      <c r="Q68" t="str">
        <f t="shared" si="15"/>
        <v/>
      </c>
      <c r="U68" t="str">
        <f t="array" ref="U68">IFERROR(INDEX(U$29:U$54,SMALL(IF(U$29:U$54&lt;&gt;"",ROW(U$29:U$54)-ROW(U$29)+1),ROWS(U$57:U68))),"")</f>
        <v/>
      </c>
    </row>
    <row r="69" spans="3:21" x14ac:dyDescent="0.25">
      <c r="C69" s="6">
        <f>'IA - Large'!D25</f>
        <v>635</v>
      </c>
      <c r="D69" s="6" t="str">
        <f>'IA - Large'!B25</f>
        <v>Frame: 56 ----- Stem: Integrated w/15 ----- Aerobar: + 5</v>
      </c>
      <c r="E69" s="6">
        <f t="shared" si="11"/>
        <v>1</v>
      </c>
      <c r="F69" s="6" t="str">
        <f t="shared" si="3"/>
        <v/>
      </c>
      <c r="G69" s="6" t="str">
        <f t="shared" si="4"/>
        <v/>
      </c>
      <c r="H69" s="6">
        <f t="shared" si="12"/>
        <v>0</v>
      </c>
      <c r="I69" s="6">
        <f t="shared" si="13"/>
        <v>1</v>
      </c>
      <c r="J69" s="6" t="str">
        <f>'IA - Large'!G25</f>
        <v xml:space="preserve">Stem Bolts: 40mm -----  Aerobar Bolts: Top 45mm; Bottom N/A </v>
      </c>
      <c r="K69" s="6">
        <v>1</v>
      </c>
      <c r="L69" t="s">
        <v>11</v>
      </c>
      <c r="O69" t="str">
        <f t="shared" si="15"/>
        <v/>
      </c>
      <c r="P69" t="str">
        <f t="shared" si="15"/>
        <v/>
      </c>
      <c r="Q69" t="str">
        <f t="shared" si="15"/>
        <v/>
      </c>
      <c r="U69" t="str">
        <f t="array" ref="U69">IFERROR(INDEX(U$29:U$54,SMALL(IF(U$29:U$54&lt;&gt;"",ROW(U$29:U$54)-ROW(U$29)+1),ROWS(U$57:U69))),"")</f>
        <v/>
      </c>
    </row>
    <row r="70" spans="3:21" x14ac:dyDescent="0.25">
      <c r="C70" s="6">
        <f>'IA - Large'!D26</f>
        <v>640</v>
      </c>
      <c r="D70" s="6" t="str">
        <f>'IA - Large'!B26</f>
        <v>Frame: 56 ----- Stem: Integrated w/15 ----- Aerobar: + 10</v>
      </c>
      <c r="E70" s="6">
        <f t="shared" si="11"/>
        <v>1</v>
      </c>
      <c r="F70" s="6" t="str">
        <f t="shared" si="3"/>
        <v/>
      </c>
      <c r="G70" s="6" t="str">
        <f t="shared" si="4"/>
        <v/>
      </c>
      <c r="H70" s="6">
        <f t="shared" si="12"/>
        <v>0</v>
      </c>
      <c r="I70" s="6">
        <f t="shared" si="13"/>
        <v>1</v>
      </c>
      <c r="J70" s="6" t="str">
        <f>'IA - Large'!G26</f>
        <v xml:space="preserve">Stem Bolts: 40mm -----  Aerobar Bolts: Top 50mm; Bottom N/A </v>
      </c>
      <c r="K70" s="6">
        <v>1</v>
      </c>
      <c r="L70" t="s">
        <v>11</v>
      </c>
      <c r="O70" t="str">
        <f t="shared" si="15"/>
        <v/>
      </c>
      <c r="P70" t="str">
        <f t="shared" si="15"/>
        <v/>
      </c>
      <c r="Q70" t="str">
        <f t="shared" si="15"/>
        <v/>
      </c>
      <c r="U70" t="str">
        <f t="array" ref="U70">IFERROR(INDEX(U$29:U$54,SMALL(IF(U$29:U$54&lt;&gt;"",ROW(U$29:U$54)-ROW(U$29)+1),ROWS(U$57:U70))),"")</f>
        <v/>
      </c>
    </row>
    <row r="71" spans="3:21" x14ac:dyDescent="0.25">
      <c r="C71" s="6">
        <f>'IA - Large'!D27</f>
        <v>645</v>
      </c>
      <c r="D71" s="6" t="str">
        <f>'IA - Large'!B27</f>
        <v>Frame: 56 ----- Stem: Integrated w/15 ----- Aerobar: + 5 + 10</v>
      </c>
      <c r="E71" s="6">
        <f t="shared" si="11"/>
        <v>1</v>
      </c>
      <c r="F71" s="6" t="str">
        <f t="shared" si="3"/>
        <v/>
      </c>
      <c r="G71" s="6" t="str">
        <f t="shared" si="4"/>
        <v/>
      </c>
      <c r="H71" s="6">
        <f t="shared" si="12"/>
        <v>0</v>
      </c>
      <c r="I71" s="6">
        <f t="shared" si="13"/>
        <v>1</v>
      </c>
      <c r="J71" s="6" t="str">
        <f>'IA - Large'!G27</f>
        <v xml:space="preserve">Stem Bolts: 40mm -----  Aerobar Bolts: Top 55mm; Bottom N/A </v>
      </c>
      <c r="K71" s="6">
        <v>1</v>
      </c>
      <c r="L71" t="s">
        <v>11</v>
      </c>
      <c r="O71" t="str">
        <f t="shared" si="15"/>
        <v/>
      </c>
      <c r="P71" t="str">
        <f t="shared" si="15"/>
        <v/>
      </c>
      <c r="Q71" t="str">
        <f t="shared" si="15"/>
        <v/>
      </c>
      <c r="U71" t="str">
        <f t="array" ref="U71">IFERROR(INDEX(U$29:U$54,SMALL(IF(U$29:U$54&lt;&gt;"",ROW(U$29:U$54)-ROW(U$29)+1),ROWS(U$57:U71))),"")</f>
        <v/>
      </c>
    </row>
    <row r="72" spans="3:21" x14ac:dyDescent="0.25">
      <c r="C72" s="6">
        <f>'IA - Large'!D28</f>
        <v>650</v>
      </c>
      <c r="D72" s="6" t="str">
        <f>'IA - Large'!B28</f>
        <v>Frame: 56 ----- Stem: Integrated w/15 ----- Aerobar: + 20</v>
      </c>
      <c r="E72" s="6">
        <f t="shared" si="11"/>
        <v>1</v>
      </c>
      <c r="F72" s="6" t="str">
        <f t="shared" si="3"/>
        <v/>
      </c>
      <c r="G72" s="6" t="str">
        <f t="shared" si="4"/>
        <v/>
      </c>
      <c r="H72" s="6">
        <f t="shared" si="12"/>
        <v>0</v>
      </c>
      <c r="I72" s="6">
        <f t="shared" si="13"/>
        <v>1</v>
      </c>
      <c r="J72" s="6" t="str">
        <f>'IA - Large'!G28</f>
        <v xml:space="preserve">Stem Bolts: 40mm -----  Aerobar Bolts: Top 20mm; Bottom 30mm </v>
      </c>
      <c r="K72" s="6">
        <v>1</v>
      </c>
      <c r="L72" t="s">
        <v>11</v>
      </c>
      <c r="O72" t="str">
        <f t="shared" si="15"/>
        <v/>
      </c>
      <c r="P72" t="str">
        <f t="shared" si="15"/>
        <v/>
      </c>
      <c r="Q72" t="str">
        <f t="shared" si="15"/>
        <v/>
      </c>
      <c r="U72" t="str">
        <f t="array" ref="U72">IFERROR(INDEX(U$29:U$54,SMALL(IF(U$29:U$54&lt;&gt;"",ROW(U$29:U$54)-ROW(U$29)+1),ROWS(U$57:U72))),"")</f>
        <v/>
      </c>
    </row>
    <row r="73" spans="3:21" x14ac:dyDescent="0.25">
      <c r="C73" s="6">
        <f>'IA - Large'!D29</f>
        <v>655</v>
      </c>
      <c r="D73" s="6" t="str">
        <f>'IA - Large'!B29</f>
        <v>Frame: 56 ----- Stem: Integrated w/15 ----- Aerobar: + 20 + 5</v>
      </c>
      <c r="E73" s="6">
        <f t="shared" si="11"/>
        <v>1</v>
      </c>
      <c r="F73" s="6" t="str">
        <f t="shared" ref="F73:F136" si="16">IF(ISNUMBER(FIND("30",D73)),1,"")</f>
        <v/>
      </c>
      <c r="G73" s="6" t="str">
        <f t="shared" si="4"/>
        <v/>
      </c>
      <c r="H73" s="6">
        <f t="shared" si="12"/>
        <v>0</v>
      </c>
      <c r="I73" s="6">
        <f t="shared" si="13"/>
        <v>1</v>
      </c>
      <c r="J73" s="6" t="str">
        <f>'IA - Large'!G29</f>
        <v xml:space="preserve">Stem Bolts: 40mm -----  Aerobar Bolts: Top 25mm; Bottom 30mm </v>
      </c>
      <c r="K73" s="6">
        <v>1</v>
      </c>
      <c r="L73" t="s">
        <v>11</v>
      </c>
      <c r="O73" t="str">
        <f t="shared" si="15"/>
        <v/>
      </c>
      <c r="P73" t="str">
        <f t="shared" si="15"/>
        <v/>
      </c>
      <c r="Q73" t="str">
        <f t="shared" si="15"/>
        <v/>
      </c>
      <c r="U73" t="str">
        <f t="array" ref="U73">IFERROR(INDEX(U$29:U$54,SMALL(IF(U$29:U$54&lt;&gt;"",ROW(U$29:U$54)-ROW(U$29)+1),ROWS(U$57:U73))),"")</f>
        <v/>
      </c>
    </row>
    <row r="74" spans="3:21" x14ac:dyDescent="0.25">
      <c r="C74" s="6">
        <f>'IA - Large'!D30</f>
        <v>655</v>
      </c>
      <c r="D74" s="6" t="str">
        <f>'IA - Large'!B30</f>
        <v>Frame: 56 ----- Stem: Integrated w/15 ----- Aerobar: + 20 + bridge</v>
      </c>
      <c r="E74" s="6">
        <f t="shared" si="11"/>
        <v>1</v>
      </c>
      <c r="F74" s="6" t="str">
        <f t="shared" si="16"/>
        <v/>
      </c>
      <c r="G74" s="6" t="str">
        <f t="shared" ref="G74:G137" si="17">IF(ISNUMBER(FIND("40",D74)),1,"")</f>
        <v/>
      </c>
      <c r="H74" s="6">
        <f t="shared" si="12"/>
        <v>0</v>
      </c>
      <c r="I74" s="6">
        <f t="shared" si="13"/>
        <v>1</v>
      </c>
      <c r="J74" s="6" t="str">
        <f>'IA - Large'!G30</f>
        <v xml:space="preserve">Stem Bolts: 40mm -----  Aerobar Bolts: Top 25mm; Bottom 30mm </v>
      </c>
      <c r="K74" s="6">
        <v>1</v>
      </c>
      <c r="L74" t="s">
        <v>11</v>
      </c>
      <c r="O74" t="str">
        <f t="shared" ref="O74:Q75" si="18">IFERROR(VLOOKUP(O42,$D$8:$J$382,7,FALSE),"")</f>
        <v/>
      </c>
      <c r="P74" t="str">
        <f t="shared" si="18"/>
        <v/>
      </c>
      <c r="Q74" t="str">
        <f t="shared" si="18"/>
        <v/>
      </c>
    </row>
    <row r="75" spans="3:21" x14ac:dyDescent="0.25">
      <c r="C75" s="6">
        <f>'IA - Large'!D31</f>
        <v>660</v>
      </c>
      <c r="D75" s="6" t="str">
        <f>'IA - Large'!B31</f>
        <v>Frame: 56 ----- Stem: Integrated w/15 ----- Aerobar: + 30</v>
      </c>
      <c r="E75" s="6">
        <f t="shared" si="11"/>
        <v>1</v>
      </c>
      <c r="F75" s="6">
        <f t="shared" si="16"/>
        <v>1</v>
      </c>
      <c r="G75" s="6" t="str">
        <f t="shared" si="17"/>
        <v/>
      </c>
      <c r="H75" s="6">
        <f t="shared" si="12"/>
        <v>0</v>
      </c>
      <c r="I75" s="6">
        <f t="shared" si="13"/>
        <v>1</v>
      </c>
      <c r="J75" s="6" t="str">
        <f>'IA - Large'!G31</f>
        <v xml:space="preserve">Stem Bolts: 40mm -----  Aerobar Bolts: Top 25mm; Bottom 30mm </v>
      </c>
      <c r="K75" s="6">
        <v>1</v>
      </c>
      <c r="L75" t="s">
        <v>11</v>
      </c>
      <c r="O75" t="str">
        <f t="shared" si="18"/>
        <v/>
      </c>
      <c r="P75" t="str">
        <f t="shared" si="18"/>
        <v/>
      </c>
      <c r="Q75" t="str">
        <f t="shared" si="18"/>
        <v/>
      </c>
    </row>
    <row r="76" spans="3:21" x14ac:dyDescent="0.25">
      <c r="C76" s="6">
        <f>'IA - Large'!D32</f>
        <v>660</v>
      </c>
      <c r="D76" s="6" t="str">
        <f>'IA - Large'!B32</f>
        <v>Frame: 56 ----- Stem: Integrated w/15 ----- Aerobar: + 20 + bridge + 5</v>
      </c>
      <c r="E76" s="6">
        <f t="shared" si="11"/>
        <v>1</v>
      </c>
      <c r="F76" s="6" t="str">
        <f t="shared" si="16"/>
        <v/>
      </c>
      <c r="G76" s="6" t="str">
        <f t="shared" si="17"/>
        <v/>
      </c>
      <c r="H76" s="6">
        <f t="shared" si="12"/>
        <v>0</v>
      </c>
      <c r="I76" s="6">
        <f t="shared" si="13"/>
        <v>1</v>
      </c>
      <c r="J76" s="6" t="str">
        <f>'IA - Large'!G32</f>
        <v xml:space="preserve">Stem Bolts: 40mm -----  Aerobar Bolts: Top 30mm; Bottom 30mm </v>
      </c>
      <c r="K76" s="6">
        <v>1</v>
      </c>
      <c r="L76" t="s">
        <v>11</v>
      </c>
      <c r="N76" s="3" t="s">
        <v>51</v>
      </c>
    </row>
    <row r="77" spans="3:21" x14ac:dyDescent="0.25">
      <c r="C77" s="6">
        <f>'IA - Large'!D33</f>
        <v>665</v>
      </c>
      <c r="D77" s="6" t="str">
        <f>'IA - Large'!B33</f>
        <v>Frame: 56 ----- Stem: Integrated w/15 ----- Aerobar: + 30 + bridge</v>
      </c>
      <c r="E77" s="6">
        <f t="shared" si="11"/>
        <v>1</v>
      </c>
      <c r="F77" s="6">
        <f t="shared" si="16"/>
        <v>1</v>
      </c>
      <c r="G77" s="6" t="str">
        <f t="shared" si="17"/>
        <v/>
      </c>
      <c r="H77" s="6">
        <f t="shared" si="12"/>
        <v>0</v>
      </c>
      <c r="I77" s="6">
        <f t="shared" si="13"/>
        <v>1</v>
      </c>
      <c r="J77" s="6" t="str">
        <f>'IA - Large'!G33</f>
        <v xml:space="preserve">Stem Bolts: 40mm -----  Aerobar Bolts: Top 30mm; Bottom 30mm </v>
      </c>
      <c r="K77" s="6">
        <v>1</v>
      </c>
      <c r="L77" t="s">
        <v>11</v>
      </c>
    </row>
    <row r="78" spans="3:21" x14ac:dyDescent="0.25">
      <c r="C78" s="6">
        <f>'IA - Large'!D34</f>
        <v>670</v>
      </c>
      <c r="D78" s="6" t="str">
        <f>'IA - Large'!B34</f>
        <v>Frame: 56 ----- Stem: Integrated w/15 ----- Aerobar: + 30 + bridge + 5</v>
      </c>
      <c r="E78" s="6">
        <f t="shared" si="11"/>
        <v>1</v>
      </c>
      <c r="F78" s="6">
        <f t="shared" si="16"/>
        <v>1</v>
      </c>
      <c r="G78" s="6" t="str">
        <f t="shared" si="17"/>
        <v/>
      </c>
      <c r="H78" s="6">
        <f t="shared" si="12"/>
        <v>0</v>
      </c>
      <c r="I78" s="6">
        <f t="shared" si="13"/>
        <v>1</v>
      </c>
      <c r="J78" s="6" t="str">
        <f>'IA - Large'!G34</f>
        <v xml:space="preserve">Stem Bolts: 40mm -----  Aerobar Bolts: Top 35mm; Bottom 30mm </v>
      </c>
      <c r="K78" s="6">
        <v>1</v>
      </c>
      <c r="L78" t="s">
        <v>11</v>
      </c>
    </row>
    <row r="79" spans="3:21" x14ac:dyDescent="0.25">
      <c r="C79" s="6">
        <f>'IA - Large'!D35</f>
        <v>675</v>
      </c>
      <c r="D79" s="6" t="str">
        <f>'IA - Large'!B35</f>
        <v>Frame: 56 ----- Stem: Integrated w/15 ----- Aerobar: + 40 + bridge</v>
      </c>
      <c r="E79" s="6">
        <f t="shared" si="11"/>
        <v>1</v>
      </c>
      <c r="F79" s="6" t="str">
        <f t="shared" si="16"/>
        <v/>
      </c>
      <c r="G79" s="6">
        <f t="shared" si="17"/>
        <v>1</v>
      </c>
      <c r="H79" s="6">
        <f t="shared" si="12"/>
        <v>0</v>
      </c>
      <c r="I79" s="6">
        <f t="shared" si="13"/>
        <v>1</v>
      </c>
      <c r="J79" s="6" t="str">
        <f>'IA - Large'!G35</f>
        <v xml:space="preserve">Stem Bolts: 40mm -----  Aerobar Bolts: Top 35mm; Bottom 30mm </v>
      </c>
      <c r="K79" s="6">
        <v>1</v>
      </c>
      <c r="L79" t="s">
        <v>11</v>
      </c>
    </row>
    <row r="80" spans="3:21" x14ac:dyDescent="0.25">
      <c r="C80" s="6">
        <f>'IA - Large'!D36</f>
        <v>680</v>
      </c>
      <c r="D80" s="6" t="str">
        <f>'IA - Large'!B36</f>
        <v>Frame: 56 ----- Stem: Integrated w/15 ----- Aerobar: + 40 + bridge + 5</v>
      </c>
      <c r="E80" s="6">
        <f t="shared" si="11"/>
        <v>1</v>
      </c>
      <c r="F80" s="6" t="str">
        <f t="shared" si="16"/>
        <v/>
      </c>
      <c r="G80" s="6">
        <f t="shared" si="17"/>
        <v>1</v>
      </c>
      <c r="H80" s="6">
        <f t="shared" si="12"/>
        <v>0</v>
      </c>
      <c r="I80" s="6">
        <f t="shared" si="13"/>
        <v>1</v>
      </c>
      <c r="J80" s="6" t="str">
        <f>'IA - Large'!G36</f>
        <v xml:space="preserve">Stem Bolts: 40mm -----  Aerobar Bolts: Top 35mm; Bottom 30mm </v>
      </c>
      <c r="K80" s="6">
        <v>1</v>
      </c>
      <c r="L80" t="s">
        <v>11</v>
      </c>
    </row>
    <row r="81" spans="3:12" x14ac:dyDescent="0.25">
      <c r="C81" s="6">
        <f>'IA - Large'!D37</f>
        <v>685</v>
      </c>
      <c r="D81" s="6" t="str">
        <f>'IA - Large'!B37</f>
        <v>Frame: 56 ----- Stem: Integrated w/15 ----- Aerobar: + 40 + bridge + 10</v>
      </c>
      <c r="E81" s="6">
        <f t="shared" si="11"/>
        <v>1</v>
      </c>
      <c r="F81" s="6" t="str">
        <f t="shared" si="16"/>
        <v/>
      </c>
      <c r="G81" s="6">
        <f t="shared" si="17"/>
        <v>1</v>
      </c>
      <c r="H81" s="6">
        <f t="shared" si="12"/>
        <v>0</v>
      </c>
      <c r="I81" s="6">
        <f t="shared" si="13"/>
        <v>1</v>
      </c>
      <c r="J81" s="6" t="str">
        <f>'IA - Large'!G37</f>
        <v xml:space="preserve">Stem Bolts: 40mm -----  Aerobar Bolts: Top 40mm; Bottom 30mm </v>
      </c>
      <c r="K81" s="6">
        <v>1</v>
      </c>
      <c r="L81" t="s">
        <v>11</v>
      </c>
    </row>
    <row r="82" spans="3:12" x14ac:dyDescent="0.25">
      <c r="C82" s="6">
        <f>'IA - Large'!D38</f>
        <v>690</v>
      </c>
      <c r="D82" s="6" t="str">
        <f>'IA - Large'!B38</f>
        <v>Frame: 56 ----- Stem: Integrated w/15 ----- Aerobar: + 40 + bridge + 10 + 5</v>
      </c>
      <c r="E82" s="6">
        <f t="shared" si="11"/>
        <v>1</v>
      </c>
      <c r="F82" s="6" t="str">
        <f t="shared" si="16"/>
        <v/>
      </c>
      <c r="G82" s="6">
        <f t="shared" si="17"/>
        <v>1</v>
      </c>
      <c r="H82" s="6">
        <f t="shared" si="12"/>
        <v>0</v>
      </c>
      <c r="I82" s="6">
        <f t="shared" si="13"/>
        <v>1</v>
      </c>
      <c r="J82" s="6" t="str">
        <f>'IA - Large'!G38</f>
        <v xml:space="preserve">Stem Bolts: 40mm -----  Aerobar Bolts: Top 45mm; Bottom 30mm </v>
      </c>
      <c r="K82" s="6">
        <v>1</v>
      </c>
      <c r="L82" t="s">
        <v>11</v>
      </c>
    </row>
    <row r="83" spans="3:12" x14ac:dyDescent="0.25">
      <c r="C83">
        <f>'IA - Large'!D39</f>
        <v>0</v>
      </c>
      <c r="D83" t="str">
        <f>'IA - Large'!B39</f>
        <v xml:space="preserve">Frame: 56 ----- Stem: Integrated w/30 ----- Aerobar: </v>
      </c>
      <c r="E83">
        <f t="shared" si="11"/>
        <v>1</v>
      </c>
      <c r="F83">
        <f t="shared" si="16"/>
        <v>1</v>
      </c>
      <c r="G83" t="str">
        <f t="shared" si="17"/>
        <v/>
      </c>
      <c r="H83">
        <f t="shared" si="12"/>
        <v>0</v>
      </c>
      <c r="I83">
        <f t="shared" si="13"/>
        <v>1</v>
      </c>
      <c r="J83" t="str">
        <f>'IA - Large'!G39</f>
        <v xml:space="preserve">Stem Bolts: 55mm -----  Aerobar Bolts: Top N/A; Bottom N/A </v>
      </c>
      <c r="K83" s="6">
        <v>1</v>
      </c>
      <c r="L83" t="s">
        <v>11</v>
      </c>
    </row>
    <row r="84" spans="3:12" x14ac:dyDescent="0.25">
      <c r="C84">
        <f>'IA - Large'!D40</f>
        <v>650</v>
      </c>
      <c r="D84" t="str">
        <f>'IA - Large'!B40</f>
        <v>Frame: 56 ----- Stem: Integrated w/30 ----- Aerobar: + 5</v>
      </c>
      <c r="E84">
        <f t="shared" si="11"/>
        <v>1</v>
      </c>
      <c r="F84">
        <f t="shared" si="16"/>
        <v>1</v>
      </c>
      <c r="G84" t="str">
        <f t="shared" si="17"/>
        <v/>
      </c>
      <c r="H84">
        <f t="shared" si="12"/>
        <v>0</v>
      </c>
      <c r="I84">
        <f t="shared" si="13"/>
        <v>1</v>
      </c>
      <c r="J84" t="str">
        <f>'IA - Large'!G40</f>
        <v xml:space="preserve">Stem Bolts: 55mm -----  Aerobar Bolts: Top 45mm; Bottom N/A </v>
      </c>
      <c r="K84" s="6">
        <v>1</v>
      </c>
      <c r="L84" t="s">
        <v>11</v>
      </c>
    </row>
    <row r="85" spans="3:12" x14ac:dyDescent="0.25">
      <c r="C85">
        <f>'IA - Large'!D41</f>
        <v>655</v>
      </c>
      <c r="D85" t="str">
        <f>'IA - Large'!B41</f>
        <v>Frame: 56 ----- Stem: Integrated w/30 ----- Aerobar: + 10</v>
      </c>
      <c r="E85">
        <f t="shared" si="11"/>
        <v>1</v>
      </c>
      <c r="F85">
        <f t="shared" si="16"/>
        <v>1</v>
      </c>
      <c r="G85" t="str">
        <f t="shared" si="17"/>
        <v/>
      </c>
      <c r="H85">
        <f t="shared" si="12"/>
        <v>0</v>
      </c>
      <c r="I85">
        <f t="shared" si="13"/>
        <v>1</v>
      </c>
      <c r="J85" t="str">
        <f>'IA - Large'!G41</f>
        <v xml:space="preserve">Stem Bolts: 55mm -----  Aerobar Bolts: Top 50mm; Bottom N/A </v>
      </c>
      <c r="K85" s="6">
        <v>1</v>
      </c>
      <c r="L85" t="s">
        <v>11</v>
      </c>
    </row>
    <row r="86" spans="3:12" x14ac:dyDescent="0.25">
      <c r="C86">
        <f>'IA - Large'!D42</f>
        <v>660</v>
      </c>
      <c r="D86" t="str">
        <f>'IA - Large'!B42</f>
        <v>Frame: 56 ----- Stem: Integrated w/30 ----- Aerobar: + 5 + 10</v>
      </c>
      <c r="E86">
        <f t="shared" si="11"/>
        <v>1</v>
      </c>
      <c r="F86">
        <f t="shared" si="16"/>
        <v>1</v>
      </c>
      <c r="G86" t="str">
        <f t="shared" si="17"/>
        <v/>
      </c>
      <c r="H86">
        <f t="shared" si="12"/>
        <v>0</v>
      </c>
      <c r="I86">
        <f t="shared" si="13"/>
        <v>1</v>
      </c>
      <c r="J86" t="str">
        <f>'IA - Large'!G42</f>
        <v xml:space="preserve">Stem Bolts: 55mm -----  Aerobar Bolts: Top 55mm; Bottom N/A </v>
      </c>
      <c r="K86" s="6">
        <v>1</v>
      </c>
      <c r="L86" t="s">
        <v>11</v>
      </c>
    </row>
    <row r="87" spans="3:12" x14ac:dyDescent="0.25">
      <c r="C87">
        <f>'IA - Large'!D43</f>
        <v>665</v>
      </c>
      <c r="D87" t="str">
        <f>'IA - Large'!B43</f>
        <v>Frame: 56 ----- Stem: Integrated w/30 ----- Aerobar: + 20</v>
      </c>
      <c r="E87">
        <f t="shared" si="11"/>
        <v>1</v>
      </c>
      <c r="F87">
        <f t="shared" si="16"/>
        <v>1</v>
      </c>
      <c r="G87" t="str">
        <f t="shared" si="17"/>
        <v/>
      </c>
      <c r="H87">
        <f t="shared" si="12"/>
        <v>0</v>
      </c>
      <c r="I87">
        <f t="shared" si="13"/>
        <v>1</v>
      </c>
      <c r="J87" t="str">
        <f>'IA - Large'!G43</f>
        <v xml:space="preserve">Stem Bolts: 55mm -----  Aerobar Bolts: Top 20mm; Bottom 30mm </v>
      </c>
      <c r="K87" s="6">
        <v>1</v>
      </c>
      <c r="L87" t="s">
        <v>11</v>
      </c>
    </row>
    <row r="88" spans="3:12" x14ac:dyDescent="0.25">
      <c r="C88">
        <f>'IA - Large'!D44</f>
        <v>670</v>
      </c>
      <c r="D88" t="str">
        <f>'IA - Large'!B44</f>
        <v>Frame: 56 ----- Stem: Integrated w/30 ----- Aerobar: + 20 + 5</v>
      </c>
      <c r="E88">
        <f t="shared" si="11"/>
        <v>1</v>
      </c>
      <c r="F88">
        <f t="shared" si="16"/>
        <v>1</v>
      </c>
      <c r="G88" t="str">
        <f t="shared" si="17"/>
        <v/>
      </c>
      <c r="H88">
        <f t="shared" si="12"/>
        <v>0</v>
      </c>
      <c r="I88">
        <f t="shared" si="13"/>
        <v>1</v>
      </c>
      <c r="J88" t="str">
        <f>'IA - Large'!G44</f>
        <v xml:space="preserve">Stem Bolts: 55mm -----  Aerobar Bolts: Top 25mm; Bottom 30mm </v>
      </c>
      <c r="K88" s="6">
        <v>1</v>
      </c>
      <c r="L88" t="s">
        <v>11</v>
      </c>
    </row>
    <row r="89" spans="3:12" x14ac:dyDescent="0.25">
      <c r="C89">
        <f>'IA - Large'!D45</f>
        <v>670</v>
      </c>
      <c r="D89" t="str">
        <f>'IA - Large'!B45</f>
        <v>Frame: 56 ----- Stem: Integrated w/30 ----- Aerobar: + 20 + bridge</v>
      </c>
      <c r="E89">
        <f t="shared" si="11"/>
        <v>1</v>
      </c>
      <c r="F89">
        <f t="shared" si="16"/>
        <v>1</v>
      </c>
      <c r="G89" t="str">
        <f t="shared" si="17"/>
        <v/>
      </c>
      <c r="H89">
        <f t="shared" si="12"/>
        <v>0</v>
      </c>
      <c r="I89">
        <f t="shared" si="13"/>
        <v>1</v>
      </c>
      <c r="J89" t="str">
        <f>'IA - Large'!G45</f>
        <v xml:space="preserve">Stem Bolts: 55mm -----  Aerobar Bolts: Top 25mm; Bottom 30mm </v>
      </c>
      <c r="K89" s="6">
        <v>1</v>
      </c>
      <c r="L89" t="s">
        <v>11</v>
      </c>
    </row>
    <row r="90" spans="3:12" x14ac:dyDescent="0.25">
      <c r="C90">
        <f>'IA - Large'!D46</f>
        <v>675</v>
      </c>
      <c r="D90" t="str">
        <f>'IA - Large'!B46</f>
        <v>Frame: 56 ----- Stem: Integrated w/30 ----- Aerobar: + 30</v>
      </c>
      <c r="E90">
        <f t="shared" si="11"/>
        <v>1</v>
      </c>
      <c r="F90">
        <f t="shared" si="16"/>
        <v>1</v>
      </c>
      <c r="G90" t="str">
        <f t="shared" si="17"/>
        <v/>
      </c>
      <c r="H90">
        <f t="shared" si="12"/>
        <v>0</v>
      </c>
      <c r="I90">
        <f t="shared" si="13"/>
        <v>1</v>
      </c>
      <c r="J90" t="str">
        <f>'IA - Large'!G46</f>
        <v xml:space="preserve">Stem Bolts: 55mm -----  Aerobar Bolts: Top 25mm; Bottom 30mm </v>
      </c>
      <c r="K90" s="6">
        <v>1</v>
      </c>
      <c r="L90" t="s">
        <v>11</v>
      </c>
    </row>
    <row r="91" spans="3:12" x14ac:dyDescent="0.25">
      <c r="C91">
        <f>'IA - Large'!D47</f>
        <v>675</v>
      </c>
      <c r="D91" t="str">
        <f>'IA - Large'!B47</f>
        <v>Frame: 56 ----- Stem: Integrated w/30 ----- Aerobar: + 20 + bridge + 5</v>
      </c>
      <c r="E91">
        <f t="shared" si="11"/>
        <v>1</v>
      </c>
      <c r="F91">
        <f t="shared" si="16"/>
        <v>1</v>
      </c>
      <c r="G91" t="str">
        <f t="shared" si="17"/>
        <v/>
      </c>
      <c r="H91">
        <f t="shared" si="12"/>
        <v>0</v>
      </c>
      <c r="I91">
        <f t="shared" si="13"/>
        <v>1</v>
      </c>
      <c r="J91" t="str">
        <f>'IA - Large'!G47</f>
        <v xml:space="preserve">Stem Bolts: 55mm -----  Aerobar Bolts: Top 30mm; Bottom 30mm </v>
      </c>
      <c r="K91" s="6">
        <v>1</v>
      </c>
      <c r="L91" t="s">
        <v>11</v>
      </c>
    </row>
    <row r="92" spans="3:12" x14ac:dyDescent="0.25">
      <c r="C92">
        <f>'IA - Large'!D48</f>
        <v>680</v>
      </c>
      <c r="D92" t="str">
        <f>'IA - Large'!B48</f>
        <v>Frame: 56 ----- Stem: Integrated w/30 ----- Aerobar: + 30 + bridge</v>
      </c>
      <c r="E92">
        <f t="shared" si="11"/>
        <v>1</v>
      </c>
      <c r="F92">
        <f t="shared" si="16"/>
        <v>1</v>
      </c>
      <c r="G92" t="str">
        <f t="shared" si="17"/>
        <v/>
      </c>
      <c r="H92">
        <f t="shared" si="12"/>
        <v>0</v>
      </c>
      <c r="I92">
        <f t="shared" si="13"/>
        <v>1</v>
      </c>
      <c r="J92" t="str">
        <f>'IA - Large'!G48</f>
        <v xml:space="preserve">Stem Bolts: 55mm -----  Aerobar Bolts: Top 30mm; Bottom 30mm </v>
      </c>
      <c r="K92" s="6">
        <v>1</v>
      </c>
      <c r="L92" t="s">
        <v>11</v>
      </c>
    </row>
    <row r="93" spans="3:12" x14ac:dyDescent="0.25">
      <c r="C93">
        <f>'IA - Large'!D49</f>
        <v>685</v>
      </c>
      <c r="D93" t="str">
        <f>'IA - Large'!B49</f>
        <v>Frame: 56 ----- Stem: Integrated w/30 ----- Aerobar: + 30 + bridge + 5</v>
      </c>
      <c r="E93">
        <f t="shared" si="11"/>
        <v>1</v>
      </c>
      <c r="F93">
        <f t="shared" si="16"/>
        <v>1</v>
      </c>
      <c r="G93" t="str">
        <f t="shared" si="17"/>
        <v/>
      </c>
      <c r="H93">
        <f t="shared" si="12"/>
        <v>0</v>
      </c>
      <c r="I93">
        <f t="shared" si="13"/>
        <v>1</v>
      </c>
      <c r="J93" t="str">
        <f>'IA - Large'!G49</f>
        <v xml:space="preserve">Stem Bolts: 55mm -----  Aerobar Bolts: Top 35mm; Bottom 30mm </v>
      </c>
      <c r="K93" s="6">
        <v>1</v>
      </c>
      <c r="L93" t="s">
        <v>11</v>
      </c>
    </row>
    <row r="94" spans="3:12" x14ac:dyDescent="0.25">
      <c r="C94">
        <f>'IA - Large'!D50</f>
        <v>690</v>
      </c>
      <c r="D94" t="str">
        <f>'IA - Large'!B50</f>
        <v>Frame: 56 ----- Stem: Integrated w/30 ----- Aerobar: + 40 + bridge</v>
      </c>
      <c r="E94">
        <f t="shared" si="11"/>
        <v>1</v>
      </c>
      <c r="F94">
        <f t="shared" si="16"/>
        <v>1</v>
      </c>
      <c r="G94">
        <f t="shared" si="17"/>
        <v>1</v>
      </c>
      <c r="H94">
        <f t="shared" si="12"/>
        <v>0</v>
      </c>
      <c r="I94">
        <f t="shared" si="13"/>
        <v>1</v>
      </c>
      <c r="J94" t="str">
        <f>'IA - Large'!G50</f>
        <v xml:space="preserve">Stem Bolts: 55mm -----  Aerobar Bolts: Top 35mm; Bottom 30mm </v>
      </c>
      <c r="K94" s="6">
        <v>1</v>
      </c>
      <c r="L94" t="s">
        <v>11</v>
      </c>
    </row>
    <row r="95" spans="3:12" x14ac:dyDescent="0.25">
      <c r="C95">
        <f>'IA - Large'!D51</f>
        <v>695</v>
      </c>
      <c r="D95" t="str">
        <f>'IA - Large'!B51</f>
        <v>Frame: 56 ----- Stem: Integrated w/30 ----- Aerobar: + 40 + bridge + 5</v>
      </c>
      <c r="E95">
        <f t="shared" si="11"/>
        <v>1</v>
      </c>
      <c r="F95">
        <f t="shared" si="16"/>
        <v>1</v>
      </c>
      <c r="G95">
        <f t="shared" si="17"/>
        <v>1</v>
      </c>
      <c r="H95">
        <f t="shared" si="12"/>
        <v>0</v>
      </c>
      <c r="I95">
        <f t="shared" si="13"/>
        <v>1</v>
      </c>
      <c r="J95" t="str">
        <f>'IA - Large'!G51</f>
        <v xml:space="preserve">Stem Bolts: 55mm -----  Aerobar Bolts: Top 35mm; Bottom 30mm </v>
      </c>
      <c r="K95" s="6">
        <v>1</v>
      </c>
      <c r="L95" t="s">
        <v>11</v>
      </c>
    </row>
    <row r="96" spans="3:12" x14ac:dyDescent="0.25">
      <c r="C96">
        <f>'IA - Large'!D52</f>
        <v>700</v>
      </c>
      <c r="D96" t="str">
        <f>'IA - Large'!B52</f>
        <v>Frame: 56 ----- Stem: Integrated w/30 ----- Aerobar: + 40 + bridge + 10</v>
      </c>
      <c r="E96">
        <f t="shared" si="11"/>
        <v>1</v>
      </c>
      <c r="F96">
        <f t="shared" si="16"/>
        <v>1</v>
      </c>
      <c r="G96">
        <f t="shared" si="17"/>
        <v>1</v>
      </c>
      <c r="H96">
        <f t="shared" si="12"/>
        <v>0</v>
      </c>
      <c r="I96">
        <f t="shared" si="13"/>
        <v>1</v>
      </c>
      <c r="J96" t="str">
        <f>'IA - Large'!G52</f>
        <v xml:space="preserve">Stem Bolts: 55mm -----  Aerobar Bolts: Top 40mm; Bottom 30mm </v>
      </c>
      <c r="K96" s="6">
        <v>1</v>
      </c>
      <c r="L96" t="s">
        <v>11</v>
      </c>
    </row>
    <row r="97" spans="3:12" x14ac:dyDescent="0.25">
      <c r="C97">
        <f>'IA - Large'!D53</f>
        <v>705</v>
      </c>
      <c r="D97" t="str">
        <f>'IA - Large'!B53</f>
        <v>Frame: 56 ----- Stem: Integrated w/30 ----- Aerobar: + 40 + bridge + 10 + 5</v>
      </c>
      <c r="E97">
        <f t="shared" si="11"/>
        <v>1</v>
      </c>
      <c r="F97">
        <f t="shared" si="16"/>
        <v>1</v>
      </c>
      <c r="G97">
        <f t="shared" si="17"/>
        <v>1</v>
      </c>
      <c r="H97">
        <f t="shared" si="12"/>
        <v>0</v>
      </c>
      <c r="I97">
        <f t="shared" si="13"/>
        <v>1</v>
      </c>
      <c r="J97" t="str">
        <f>'IA - Large'!G53</f>
        <v xml:space="preserve">Stem Bolts: 55mm -----  Aerobar Bolts: Top 45mm; Bottom 30mm </v>
      </c>
      <c r="K97" s="6">
        <v>1</v>
      </c>
      <c r="L97" t="s">
        <v>11</v>
      </c>
    </row>
    <row r="98" spans="3:12" x14ac:dyDescent="0.25">
      <c r="C98" s="6">
        <f>'IA - Medium'!D9</f>
        <v>0</v>
      </c>
      <c r="D98" s="6" t="str">
        <f>'IA - Medium'!B9</f>
        <v>Frame: 54 ----- Stem: Integrated ----- Aerobar:</v>
      </c>
      <c r="E98" s="6">
        <f t="shared" ref="E98:E142" si="19">$W$7*$X$7</f>
        <v>1</v>
      </c>
      <c r="F98" s="6" t="str">
        <f t="shared" si="16"/>
        <v/>
      </c>
      <c r="G98" s="6" t="str">
        <f t="shared" si="17"/>
        <v/>
      </c>
      <c r="H98" s="6">
        <f t="shared" ref="H98:H142" si="20">$E$4-$U$22</f>
        <v>20</v>
      </c>
      <c r="I98" s="6">
        <f t="shared" ref="I98:I142" si="21">$AC$7</f>
        <v>1</v>
      </c>
      <c r="J98" s="6" t="str">
        <f>'IA - Medium'!G9</f>
        <v xml:space="preserve">Stem Bolts: 25mm -----  Aerobar Bolts: Top N/A; Bottom N/A </v>
      </c>
      <c r="K98" s="6">
        <v>1</v>
      </c>
      <c r="L98" t="s">
        <v>11</v>
      </c>
    </row>
    <row r="99" spans="3:12" x14ac:dyDescent="0.25">
      <c r="C99" s="6">
        <f>'IA - Medium'!D10</f>
        <v>600</v>
      </c>
      <c r="D99" s="6" t="str">
        <f>'IA - Medium'!B10</f>
        <v>Frame: 54 ----- Stem: Integrated ----- Aerobar:+ 5</v>
      </c>
      <c r="E99" s="6">
        <f t="shared" si="19"/>
        <v>1</v>
      </c>
      <c r="F99" s="6" t="str">
        <f t="shared" si="16"/>
        <v/>
      </c>
      <c r="G99" s="6" t="str">
        <f t="shared" si="17"/>
        <v/>
      </c>
      <c r="H99" s="6">
        <f>$E$4-$U$22</f>
        <v>20</v>
      </c>
      <c r="I99" s="6">
        <f t="shared" si="21"/>
        <v>1</v>
      </c>
      <c r="J99" s="6" t="str">
        <f>'IA - Medium'!G10</f>
        <v xml:space="preserve">Stem Bolts: 25mm -----  Aerobar Bolts: Top 45mm; Bottom N/A </v>
      </c>
      <c r="K99" s="6">
        <v>1</v>
      </c>
      <c r="L99" t="s">
        <v>11</v>
      </c>
    </row>
    <row r="100" spans="3:12" x14ac:dyDescent="0.25">
      <c r="C100" s="6">
        <f>'IA - Medium'!D11</f>
        <v>605</v>
      </c>
      <c r="D100" s="6" t="str">
        <f>'IA - Medium'!B11</f>
        <v>Frame: 54 ----- Stem: Integrated ----- Aerobar:+ 10</v>
      </c>
      <c r="E100" s="6">
        <f t="shared" si="19"/>
        <v>1</v>
      </c>
      <c r="F100" s="6" t="str">
        <f t="shared" si="16"/>
        <v/>
      </c>
      <c r="G100" s="6" t="str">
        <f t="shared" si="17"/>
        <v/>
      </c>
      <c r="H100" s="6">
        <f t="shared" si="20"/>
        <v>20</v>
      </c>
      <c r="I100" s="6">
        <f t="shared" si="21"/>
        <v>1</v>
      </c>
      <c r="J100" s="6" t="str">
        <f>'IA - Medium'!G11</f>
        <v xml:space="preserve">Stem Bolts: 25mm -----  Aerobar Bolts: Top 50mm; Bottom N/A </v>
      </c>
      <c r="K100" s="6">
        <v>1</v>
      </c>
      <c r="L100" t="s">
        <v>11</v>
      </c>
    </row>
    <row r="101" spans="3:12" x14ac:dyDescent="0.25">
      <c r="C101" s="6">
        <f>'IA - Medium'!D12</f>
        <v>610</v>
      </c>
      <c r="D101" s="6" t="str">
        <f>'IA - Medium'!B12</f>
        <v>Frame: 54 ----- Stem: Integrated ----- Aerobar:+ 5 + 10</v>
      </c>
      <c r="E101" s="6">
        <f t="shared" si="19"/>
        <v>1</v>
      </c>
      <c r="F101" s="6" t="str">
        <f t="shared" si="16"/>
        <v/>
      </c>
      <c r="G101" s="6" t="str">
        <f t="shared" si="17"/>
        <v/>
      </c>
      <c r="H101" s="6">
        <f t="shared" si="20"/>
        <v>20</v>
      </c>
      <c r="I101" s="6">
        <f t="shared" si="21"/>
        <v>1</v>
      </c>
      <c r="J101" s="6" t="str">
        <f>'IA - Medium'!G12</f>
        <v xml:space="preserve">Stem Bolts: 25mm -----  Aerobar Bolts: Top 55mm; Bottom N/A </v>
      </c>
      <c r="K101" s="6">
        <v>1</v>
      </c>
      <c r="L101" t="s">
        <v>11</v>
      </c>
    </row>
    <row r="102" spans="3:12" x14ac:dyDescent="0.25">
      <c r="C102" s="6">
        <f>'IA - Medium'!D13</f>
        <v>615</v>
      </c>
      <c r="D102" s="6" t="str">
        <f>'IA - Medium'!B13</f>
        <v>Frame: 54 ----- Stem: Integrated ----- Aerobar:+ 20</v>
      </c>
      <c r="E102" s="6">
        <f t="shared" si="19"/>
        <v>1</v>
      </c>
      <c r="F102" s="6" t="str">
        <f t="shared" si="16"/>
        <v/>
      </c>
      <c r="G102" s="6" t="str">
        <f t="shared" si="17"/>
        <v/>
      </c>
      <c r="H102" s="6">
        <f t="shared" si="20"/>
        <v>20</v>
      </c>
      <c r="I102" s="6">
        <f t="shared" si="21"/>
        <v>1</v>
      </c>
      <c r="J102" s="6" t="str">
        <f>'IA - Medium'!G13</f>
        <v xml:space="preserve">Stem Bolts: 25mm -----  Aerobar Bolts: Top 20mm; Bottom 30mm </v>
      </c>
      <c r="K102" s="6">
        <v>1</v>
      </c>
      <c r="L102" t="s">
        <v>11</v>
      </c>
    </row>
    <row r="103" spans="3:12" x14ac:dyDescent="0.25">
      <c r="C103" s="6">
        <f>'IA - Medium'!D14</f>
        <v>620</v>
      </c>
      <c r="D103" s="6" t="str">
        <f>'IA - Medium'!B14</f>
        <v>Frame: 54 ----- Stem: Integrated ----- Aerobar:+ 20 + 5</v>
      </c>
      <c r="E103" s="6">
        <f t="shared" si="19"/>
        <v>1</v>
      </c>
      <c r="F103" s="6" t="str">
        <f t="shared" si="16"/>
        <v/>
      </c>
      <c r="G103" s="6" t="str">
        <f t="shared" si="17"/>
        <v/>
      </c>
      <c r="H103" s="6">
        <f t="shared" si="20"/>
        <v>20</v>
      </c>
      <c r="I103" s="6">
        <f t="shared" si="21"/>
        <v>1</v>
      </c>
      <c r="J103" s="6" t="str">
        <f>'IA - Medium'!G14</f>
        <v xml:space="preserve">Stem Bolts: 25mm -----  Aerobar Bolts: Top 25mm; Bottom 30mm </v>
      </c>
      <c r="K103" s="6">
        <v>1</v>
      </c>
      <c r="L103" t="s">
        <v>11</v>
      </c>
    </row>
    <row r="104" spans="3:12" x14ac:dyDescent="0.25">
      <c r="C104" s="6">
        <f>'IA - Medium'!D15</f>
        <v>620</v>
      </c>
      <c r="D104" s="6" t="str">
        <f>'IA - Medium'!B15</f>
        <v>Frame: 54 ----- Stem: Integrated ----- Aerobar:+ 20 + bridge</v>
      </c>
      <c r="E104" s="6">
        <f t="shared" si="19"/>
        <v>1</v>
      </c>
      <c r="F104" s="6" t="str">
        <f t="shared" si="16"/>
        <v/>
      </c>
      <c r="G104" s="6" t="str">
        <f t="shared" si="17"/>
        <v/>
      </c>
      <c r="H104" s="6">
        <f t="shared" si="20"/>
        <v>20</v>
      </c>
      <c r="I104" s="6">
        <f t="shared" si="21"/>
        <v>1</v>
      </c>
      <c r="J104" s="6" t="str">
        <f>'IA - Medium'!G15</f>
        <v xml:space="preserve">Stem Bolts: 25mm -----  Aerobar Bolts: Top 25mm; Bottom 30mm </v>
      </c>
      <c r="K104" s="6">
        <v>1</v>
      </c>
      <c r="L104" t="s">
        <v>11</v>
      </c>
    </row>
    <row r="105" spans="3:12" x14ac:dyDescent="0.25">
      <c r="C105" s="6">
        <f>'IA - Medium'!D16</f>
        <v>625</v>
      </c>
      <c r="D105" s="6" t="str">
        <f>'IA - Medium'!B16</f>
        <v>Frame: 54 ----- Stem: Integrated ----- Aerobar:+ 30</v>
      </c>
      <c r="E105" s="6">
        <f t="shared" si="19"/>
        <v>1</v>
      </c>
      <c r="F105" s="6">
        <f t="shared" si="16"/>
        <v>1</v>
      </c>
      <c r="G105" s="6" t="str">
        <f t="shared" si="17"/>
        <v/>
      </c>
      <c r="H105" s="6">
        <f t="shared" si="20"/>
        <v>20</v>
      </c>
      <c r="I105" s="6">
        <f t="shared" si="21"/>
        <v>1</v>
      </c>
      <c r="J105" s="6" t="str">
        <f>'IA - Medium'!G16</f>
        <v xml:space="preserve">Stem Bolts: 25mm -----  Aerobar Bolts: Top 25mm; Bottom 30mm </v>
      </c>
      <c r="K105" s="6">
        <v>1</v>
      </c>
      <c r="L105" t="s">
        <v>11</v>
      </c>
    </row>
    <row r="106" spans="3:12" x14ac:dyDescent="0.25">
      <c r="C106" s="6">
        <f>'IA - Medium'!D17</f>
        <v>625</v>
      </c>
      <c r="D106" s="6" t="str">
        <f>'IA - Medium'!B17</f>
        <v>Frame: 54 ----- Stem: Integrated ----- Aerobar:+ 20 + bridge + 5</v>
      </c>
      <c r="E106" s="6">
        <f t="shared" si="19"/>
        <v>1</v>
      </c>
      <c r="F106" s="6" t="str">
        <f t="shared" si="16"/>
        <v/>
      </c>
      <c r="G106" s="6" t="str">
        <f t="shared" si="17"/>
        <v/>
      </c>
      <c r="H106" s="6">
        <f t="shared" si="20"/>
        <v>20</v>
      </c>
      <c r="I106" s="6">
        <f t="shared" si="21"/>
        <v>1</v>
      </c>
      <c r="J106" s="6" t="str">
        <f>'IA - Medium'!G17</f>
        <v xml:space="preserve">Stem Bolts: 25mm -----  Aerobar Bolts: Top 30mm; Bottom 30mm </v>
      </c>
      <c r="K106" s="6">
        <v>1</v>
      </c>
      <c r="L106" t="s">
        <v>11</v>
      </c>
    </row>
    <row r="107" spans="3:12" x14ac:dyDescent="0.25">
      <c r="C107" s="6">
        <f>'IA - Medium'!D18</f>
        <v>630</v>
      </c>
      <c r="D107" s="6" t="str">
        <f>'IA - Medium'!B18</f>
        <v>Frame: 54 ----- Stem: Integrated ----- Aerobar:+ 30 + bridge</v>
      </c>
      <c r="E107" s="6">
        <f t="shared" si="19"/>
        <v>1</v>
      </c>
      <c r="F107" s="6">
        <f t="shared" si="16"/>
        <v>1</v>
      </c>
      <c r="G107" s="6" t="str">
        <f t="shared" si="17"/>
        <v/>
      </c>
      <c r="H107" s="6">
        <f t="shared" si="20"/>
        <v>20</v>
      </c>
      <c r="I107" s="6">
        <f t="shared" si="21"/>
        <v>1</v>
      </c>
      <c r="J107" s="6" t="str">
        <f>'IA - Medium'!G18</f>
        <v xml:space="preserve">Stem Bolts: 25mm -----  Aerobar Bolts: Top 30mm; Bottom 30mm </v>
      </c>
      <c r="K107" s="6">
        <v>1</v>
      </c>
      <c r="L107" t="s">
        <v>11</v>
      </c>
    </row>
    <row r="108" spans="3:12" x14ac:dyDescent="0.25">
      <c r="C108" s="6">
        <f>'IA - Medium'!D19</f>
        <v>635</v>
      </c>
      <c r="D108" s="6" t="str">
        <f>'IA - Medium'!B19</f>
        <v>Frame: 54 ----- Stem: Integrated ----- Aerobar:+ 30 + bridge + 5</v>
      </c>
      <c r="E108" s="6">
        <f t="shared" si="19"/>
        <v>1</v>
      </c>
      <c r="F108" s="6">
        <f t="shared" si="16"/>
        <v>1</v>
      </c>
      <c r="G108" s="6" t="str">
        <f t="shared" si="17"/>
        <v/>
      </c>
      <c r="H108" s="6">
        <f t="shared" si="20"/>
        <v>20</v>
      </c>
      <c r="I108" s="6">
        <f t="shared" si="21"/>
        <v>1</v>
      </c>
      <c r="J108" s="6" t="str">
        <f>'IA - Medium'!G19</f>
        <v xml:space="preserve">Stem Bolts: 25mm -----  Aerobar Bolts: Top 35mm; Bottom 30mm </v>
      </c>
      <c r="K108" s="6">
        <v>1</v>
      </c>
      <c r="L108" t="s">
        <v>11</v>
      </c>
    </row>
    <row r="109" spans="3:12" x14ac:dyDescent="0.25">
      <c r="C109" s="6">
        <f>'IA - Medium'!D20</f>
        <v>640</v>
      </c>
      <c r="D109" s="6" t="str">
        <f>'IA - Medium'!B20</f>
        <v>Frame: 54 ----- Stem: Integrated ----- Aerobar:+ 40 + bridge</v>
      </c>
      <c r="E109" s="6">
        <f t="shared" si="19"/>
        <v>1</v>
      </c>
      <c r="F109" s="6" t="str">
        <f t="shared" si="16"/>
        <v/>
      </c>
      <c r="G109" s="6">
        <f t="shared" si="17"/>
        <v>1</v>
      </c>
      <c r="H109" s="6">
        <f t="shared" si="20"/>
        <v>20</v>
      </c>
      <c r="I109" s="6">
        <f t="shared" si="21"/>
        <v>1</v>
      </c>
      <c r="J109" s="6" t="str">
        <f>'IA - Medium'!G20</f>
        <v xml:space="preserve">Stem Bolts: 25mm -----  Aerobar Bolts: Top 35mm; Bottom 30mm </v>
      </c>
      <c r="K109" s="6">
        <v>1</v>
      </c>
      <c r="L109" t="s">
        <v>11</v>
      </c>
    </row>
    <row r="110" spans="3:12" x14ac:dyDescent="0.25">
      <c r="C110" s="6">
        <f>'IA - Medium'!D21</f>
        <v>645</v>
      </c>
      <c r="D110" s="6" t="str">
        <f>'IA - Medium'!B21</f>
        <v>Frame: 54 ----- Stem: Integrated ----- Aerobar:+ 40 + bridge + 5</v>
      </c>
      <c r="E110" s="6">
        <f t="shared" si="19"/>
        <v>1</v>
      </c>
      <c r="F110" s="6" t="str">
        <f t="shared" si="16"/>
        <v/>
      </c>
      <c r="G110" s="6">
        <f t="shared" si="17"/>
        <v>1</v>
      </c>
      <c r="H110" s="6">
        <f t="shared" si="20"/>
        <v>20</v>
      </c>
      <c r="I110" s="6">
        <f t="shared" si="21"/>
        <v>1</v>
      </c>
      <c r="J110" s="6" t="str">
        <f>'IA - Medium'!G21</f>
        <v xml:space="preserve">Stem Bolts: 25mm -----  Aerobar Bolts: Top 35mm; Bottom 30mm </v>
      </c>
      <c r="K110" s="6">
        <v>1</v>
      </c>
      <c r="L110" t="s">
        <v>11</v>
      </c>
    </row>
    <row r="111" spans="3:12" x14ac:dyDescent="0.25">
      <c r="C111" s="6">
        <f>'IA - Medium'!D22</f>
        <v>650</v>
      </c>
      <c r="D111" s="6" t="str">
        <f>'IA - Medium'!B22</f>
        <v>Frame: 54 ----- Stem: Integrated ----- Aerobar:+ 40 + bridge + 10</v>
      </c>
      <c r="E111" s="6">
        <f t="shared" si="19"/>
        <v>1</v>
      </c>
      <c r="F111" s="6" t="str">
        <f t="shared" si="16"/>
        <v/>
      </c>
      <c r="G111" s="6">
        <f t="shared" si="17"/>
        <v>1</v>
      </c>
      <c r="H111" s="6">
        <f t="shared" si="20"/>
        <v>20</v>
      </c>
      <c r="I111" s="6">
        <f t="shared" si="21"/>
        <v>1</v>
      </c>
      <c r="J111" s="6" t="str">
        <f>'IA - Medium'!G22</f>
        <v xml:space="preserve">Stem Bolts: 25mm -----  Aerobar Bolts: Top 40mm; Bottom 30mm </v>
      </c>
      <c r="K111" s="6">
        <v>1</v>
      </c>
      <c r="L111" t="s">
        <v>11</v>
      </c>
    </row>
    <row r="112" spans="3:12" x14ac:dyDescent="0.25">
      <c r="C112" s="6">
        <f>'IA - Medium'!D23</f>
        <v>655</v>
      </c>
      <c r="D112" s="6" t="str">
        <f>'IA - Medium'!B23</f>
        <v>Frame: 54 ----- Stem: Integrated ----- Aerobar:+ 40 + bridge + 10 + 5</v>
      </c>
      <c r="E112" s="6">
        <f t="shared" si="19"/>
        <v>1</v>
      </c>
      <c r="F112" s="6" t="str">
        <f t="shared" si="16"/>
        <v/>
      </c>
      <c r="G112" s="6">
        <f t="shared" si="17"/>
        <v>1</v>
      </c>
      <c r="H112" s="6">
        <f t="shared" si="20"/>
        <v>20</v>
      </c>
      <c r="I112" s="6">
        <f t="shared" si="21"/>
        <v>1</v>
      </c>
      <c r="J112" s="6" t="str">
        <f>'IA - Medium'!G23</f>
        <v xml:space="preserve">Stem Bolts: 25mm -----  Aerobar Bolts: Top 45mm; Bottom 30mm </v>
      </c>
      <c r="K112" s="6">
        <v>1</v>
      </c>
      <c r="L112" t="s">
        <v>11</v>
      </c>
    </row>
    <row r="113" spans="3:12" x14ac:dyDescent="0.25">
      <c r="C113">
        <f>'IA - Medium'!D24</f>
        <v>0</v>
      </c>
      <c r="D113" t="str">
        <f>'IA - Medium'!B24</f>
        <v xml:space="preserve">Frame: 54 ----- Stem: Integrated w/15 ----- Aerobar: </v>
      </c>
      <c r="E113">
        <f t="shared" si="19"/>
        <v>1</v>
      </c>
      <c r="F113" t="str">
        <f t="shared" si="16"/>
        <v/>
      </c>
      <c r="G113" t="str">
        <f t="shared" si="17"/>
        <v/>
      </c>
      <c r="H113">
        <f t="shared" si="20"/>
        <v>20</v>
      </c>
      <c r="I113">
        <f t="shared" si="21"/>
        <v>1</v>
      </c>
      <c r="J113" t="str">
        <f>'IA - Medium'!G24</f>
        <v xml:space="preserve">Stem Bolts: 40mm -----  Aerobar Bolts: Top N/A; Bottom N/A </v>
      </c>
      <c r="K113" s="6">
        <v>1</v>
      </c>
      <c r="L113" t="s">
        <v>11</v>
      </c>
    </row>
    <row r="114" spans="3:12" x14ac:dyDescent="0.25">
      <c r="C114">
        <f>'IA - Medium'!D25</f>
        <v>615</v>
      </c>
      <c r="D114" t="str">
        <f>'IA - Medium'!B25</f>
        <v>Frame: 54 ----- Stem: Integrated w/15 ----- Aerobar: + 5</v>
      </c>
      <c r="E114">
        <f t="shared" si="19"/>
        <v>1</v>
      </c>
      <c r="F114" t="str">
        <f t="shared" si="16"/>
        <v/>
      </c>
      <c r="G114" t="str">
        <f t="shared" si="17"/>
        <v/>
      </c>
      <c r="H114">
        <f t="shared" si="20"/>
        <v>20</v>
      </c>
      <c r="I114">
        <f t="shared" si="21"/>
        <v>1</v>
      </c>
      <c r="J114" t="str">
        <f>'IA - Medium'!G25</f>
        <v xml:space="preserve">Stem Bolts: 40mm -----  Aerobar Bolts: Top 45mm; Bottom N/A </v>
      </c>
      <c r="K114" s="6">
        <v>1</v>
      </c>
      <c r="L114" t="s">
        <v>11</v>
      </c>
    </row>
    <row r="115" spans="3:12" x14ac:dyDescent="0.25">
      <c r="C115">
        <f>'IA - Medium'!D26</f>
        <v>620</v>
      </c>
      <c r="D115" t="str">
        <f>'IA - Medium'!B26</f>
        <v>Frame: 54 ----- Stem: Integrated w/15 ----- Aerobar: + 10</v>
      </c>
      <c r="E115">
        <f t="shared" si="19"/>
        <v>1</v>
      </c>
      <c r="F115" t="str">
        <f t="shared" si="16"/>
        <v/>
      </c>
      <c r="G115" t="str">
        <f t="shared" si="17"/>
        <v/>
      </c>
      <c r="H115">
        <f t="shared" si="20"/>
        <v>20</v>
      </c>
      <c r="I115">
        <f t="shared" si="21"/>
        <v>1</v>
      </c>
      <c r="J115" t="str">
        <f>'IA - Medium'!G26</f>
        <v xml:space="preserve">Stem Bolts: 40mm -----  Aerobar Bolts: Top 50mm; Bottom N/A </v>
      </c>
      <c r="K115" s="6">
        <v>1</v>
      </c>
      <c r="L115" t="s">
        <v>11</v>
      </c>
    </row>
    <row r="116" spans="3:12" x14ac:dyDescent="0.25">
      <c r="C116">
        <f>'IA - Medium'!D27</f>
        <v>625</v>
      </c>
      <c r="D116" t="str">
        <f>'IA - Medium'!B27</f>
        <v>Frame: 54 ----- Stem: Integrated w/15 ----- Aerobar: + 5 + 10</v>
      </c>
      <c r="E116">
        <f t="shared" si="19"/>
        <v>1</v>
      </c>
      <c r="F116" t="str">
        <f t="shared" si="16"/>
        <v/>
      </c>
      <c r="G116" t="str">
        <f t="shared" si="17"/>
        <v/>
      </c>
      <c r="H116">
        <f t="shared" si="20"/>
        <v>20</v>
      </c>
      <c r="I116">
        <f t="shared" si="21"/>
        <v>1</v>
      </c>
      <c r="J116" t="str">
        <f>'IA - Medium'!G27</f>
        <v xml:space="preserve">Stem Bolts: 40mm -----  Aerobar Bolts: Top 55mm; Bottom N/A </v>
      </c>
      <c r="K116" s="6">
        <v>1</v>
      </c>
      <c r="L116" t="s">
        <v>11</v>
      </c>
    </row>
    <row r="117" spans="3:12" x14ac:dyDescent="0.25">
      <c r="C117">
        <f>'IA - Medium'!D28</f>
        <v>630</v>
      </c>
      <c r="D117" t="str">
        <f>'IA - Medium'!B28</f>
        <v>Frame: 54 ----- Stem: Integrated w/15 ----- Aerobar: + 20</v>
      </c>
      <c r="E117">
        <f t="shared" si="19"/>
        <v>1</v>
      </c>
      <c r="F117" t="str">
        <f t="shared" si="16"/>
        <v/>
      </c>
      <c r="G117" t="str">
        <f t="shared" si="17"/>
        <v/>
      </c>
      <c r="H117">
        <f t="shared" si="20"/>
        <v>20</v>
      </c>
      <c r="I117">
        <f t="shared" si="21"/>
        <v>1</v>
      </c>
      <c r="J117" t="str">
        <f>'IA - Medium'!G28</f>
        <v xml:space="preserve">Stem Bolts: 40mm -----  Aerobar Bolts: Top 20mm; Bottom 30mm </v>
      </c>
      <c r="K117" s="6">
        <v>1</v>
      </c>
      <c r="L117" t="s">
        <v>11</v>
      </c>
    </row>
    <row r="118" spans="3:12" x14ac:dyDescent="0.25">
      <c r="C118">
        <f>'IA - Medium'!D29</f>
        <v>635</v>
      </c>
      <c r="D118" t="str">
        <f>'IA - Medium'!B29</f>
        <v>Frame: 54 ----- Stem: Integrated w/15 ----- Aerobar: + 20 + 5</v>
      </c>
      <c r="E118">
        <f t="shared" si="19"/>
        <v>1</v>
      </c>
      <c r="F118" t="str">
        <f t="shared" si="16"/>
        <v/>
      </c>
      <c r="G118" t="str">
        <f t="shared" si="17"/>
        <v/>
      </c>
      <c r="H118">
        <f t="shared" si="20"/>
        <v>20</v>
      </c>
      <c r="I118">
        <f t="shared" si="21"/>
        <v>1</v>
      </c>
      <c r="J118" t="str">
        <f>'IA - Medium'!G29</f>
        <v xml:space="preserve">Stem Bolts: 40mm -----  Aerobar Bolts: Top 25mm; Bottom 30mm </v>
      </c>
      <c r="K118" s="6">
        <v>1</v>
      </c>
      <c r="L118" t="s">
        <v>11</v>
      </c>
    </row>
    <row r="119" spans="3:12" x14ac:dyDescent="0.25">
      <c r="C119">
        <f>'IA - Medium'!D30</f>
        <v>635</v>
      </c>
      <c r="D119" t="str">
        <f>'IA - Medium'!B30</f>
        <v>Frame: 54 ----- Stem: Integrated w/15 ----- Aerobar: + 20 + bridge</v>
      </c>
      <c r="E119">
        <f t="shared" si="19"/>
        <v>1</v>
      </c>
      <c r="F119" t="str">
        <f t="shared" si="16"/>
        <v/>
      </c>
      <c r="G119" t="str">
        <f t="shared" si="17"/>
        <v/>
      </c>
      <c r="H119">
        <f t="shared" si="20"/>
        <v>20</v>
      </c>
      <c r="I119">
        <f t="shared" si="21"/>
        <v>1</v>
      </c>
      <c r="J119" t="str">
        <f>'IA - Medium'!G30</f>
        <v xml:space="preserve">Stem Bolts: 40mm -----  Aerobar Bolts: Top 25mm; Bottom 30mm </v>
      </c>
      <c r="K119" s="6">
        <v>1</v>
      </c>
      <c r="L119" t="s">
        <v>11</v>
      </c>
    </row>
    <row r="120" spans="3:12" x14ac:dyDescent="0.25">
      <c r="C120">
        <f>'IA - Medium'!D31</f>
        <v>640</v>
      </c>
      <c r="D120" t="str">
        <f>'IA - Medium'!B31</f>
        <v>Frame: 54 ----- Stem: Integrated w/15 ----- Aerobar: + 30</v>
      </c>
      <c r="E120">
        <f t="shared" si="19"/>
        <v>1</v>
      </c>
      <c r="F120">
        <f t="shared" si="16"/>
        <v>1</v>
      </c>
      <c r="G120" t="str">
        <f t="shared" si="17"/>
        <v/>
      </c>
      <c r="H120">
        <f t="shared" si="20"/>
        <v>20</v>
      </c>
      <c r="I120">
        <f t="shared" si="21"/>
        <v>1</v>
      </c>
      <c r="J120" t="str">
        <f>'IA - Medium'!G31</f>
        <v xml:space="preserve">Stem Bolts: 40mm -----  Aerobar Bolts: Top 25mm; Bottom 30mm </v>
      </c>
      <c r="K120" s="6">
        <v>1</v>
      </c>
      <c r="L120" t="s">
        <v>11</v>
      </c>
    </row>
    <row r="121" spans="3:12" x14ac:dyDescent="0.25">
      <c r="C121">
        <f>'IA - Medium'!D32</f>
        <v>640</v>
      </c>
      <c r="D121" t="str">
        <f>'IA - Medium'!B32</f>
        <v>Frame: 54 ----- Stem: Integrated w/15 ----- Aerobar: + 20 + bridge + 5</v>
      </c>
      <c r="E121">
        <f t="shared" si="19"/>
        <v>1</v>
      </c>
      <c r="F121" t="str">
        <f t="shared" si="16"/>
        <v/>
      </c>
      <c r="G121" t="str">
        <f t="shared" si="17"/>
        <v/>
      </c>
      <c r="H121">
        <f t="shared" si="20"/>
        <v>20</v>
      </c>
      <c r="I121">
        <f t="shared" si="21"/>
        <v>1</v>
      </c>
      <c r="J121" t="str">
        <f>'IA - Medium'!G32</f>
        <v xml:space="preserve">Stem Bolts: 40mm -----  Aerobar Bolts: Top 30mm; Bottom 30mm </v>
      </c>
      <c r="K121" s="6">
        <v>1</v>
      </c>
      <c r="L121" t="s">
        <v>11</v>
      </c>
    </row>
    <row r="122" spans="3:12" x14ac:dyDescent="0.25">
      <c r="C122">
        <f>'IA - Medium'!D33</f>
        <v>645</v>
      </c>
      <c r="D122" t="str">
        <f>'IA - Medium'!B33</f>
        <v>Frame: 54 ----- Stem: Integrated w/15 ----- Aerobar: + 30 + bridge</v>
      </c>
      <c r="E122">
        <f t="shared" si="19"/>
        <v>1</v>
      </c>
      <c r="F122">
        <f t="shared" si="16"/>
        <v>1</v>
      </c>
      <c r="G122" t="str">
        <f t="shared" si="17"/>
        <v/>
      </c>
      <c r="H122">
        <f t="shared" si="20"/>
        <v>20</v>
      </c>
      <c r="I122">
        <f t="shared" si="21"/>
        <v>1</v>
      </c>
      <c r="J122" t="str">
        <f>'IA - Medium'!G33</f>
        <v xml:space="preserve">Stem Bolts: 40mm -----  Aerobar Bolts: Top 30mm; Bottom 30mm </v>
      </c>
      <c r="K122" s="6">
        <v>1</v>
      </c>
      <c r="L122" t="s">
        <v>11</v>
      </c>
    </row>
    <row r="123" spans="3:12" x14ac:dyDescent="0.25">
      <c r="C123">
        <f>'IA - Medium'!D34</f>
        <v>650</v>
      </c>
      <c r="D123" t="str">
        <f>'IA - Medium'!B34</f>
        <v>Frame: 54 ----- Stem: Integrated w/15 ----- Aerobar: + 30 + bridge + 5</v>
      </c>
      <c r="E123">
        <f t="shared" si="19"/>
        <v>1</v>
      </c>
      <c r="F123">
        <f t="shared" si="16"/>
        <v>1</v>
      </c>
      <c r="G123" t="str">
        <f t="shared" si="17"/>
        <v/>
      </c>
      <c r="H123">
        <f t="shared" si="20"/>
        <v>20</v>
      </c>
      <c r="I123">
        <f t="shared" si="21"/>
        <v>1</v>
      </c>
      <c r="J123" t="str">
        <f>'IA - Medium'!G34</f>
        <v xml:space="preserve">Stem Bolts: 40mm -----  Aerobar Bolts: Top 35mm; Bottom 30mm </v>
      </c>
      <c r="K123" s="6">
        <v>1</v>
      </c>
      <c r="L123" t="s">
        <v>11</v>
      </c>
    </row>
    <row r="124" spans="3:12" x14ac:dyDescent="0.25">
      <c r="C124">
        <f>'IA - Medium'!D35</f>
        <v>655</v>
      </c>
      <c r="D124" t="str">
        <f>'IA - Medium'!B35</f>
        <v>Frame: 54 ----- Stem: Integrated w/15 ----- Aerobar: + 40 + bridge</v>
      </c>
      <c r="E124">
        <f t="shared" si="19"/>
        <v>1</v>
      </c>
      <c r="F124" t="str">
        <f t="shared" si="16"/>
        <v/>
      </c>
      <c r="G124">
        <f t="shared" si="17"/>
        <v>1</v>
      </c>
      <c r="H124">
        <f t="shared" si="20"/>
        <v>20</v>
      </c>
      <c r="I124">
        <f t="shared" si="21"/>
        <v>1</v>
      </c>
      <c r="J124" t="str">
        <f>'IA - Medium'!G35</f>
        <v xml:space="preserve">Stem Bolts: 40mm -----  Aerobar Bolts: Top 35mm; Bottom 30mm </v>
      </c>
      <c r="K124" s="6">
        <v>1</v>
      </c>
      <c r="L124" t="s">
        <v>11</v>
      </c>
    </row>
    <row r="125" spans="3:12" x14ac:dyDescent="0.25">
      <c r="C125">
        <f>'IA - Medium'!D36</f>
        <v>660</v>
      </c>
      <c r="D125" t="str">
        <f>'IA - Medium'!B36</f>
        <v>Frame: 54 ----- Stem: Integrated w/15 ----- Aerobar: + 40 + bridge + 5</v>
      </c>
      <c r="E125">
        <f t="shared" si="19"/>
        <v>1</v>
      </c>
      <c r="F125" t="str">
        <f t="shared" si="16"/>
        <v/>
      </c>
      <c r="G125">
        <f t="shared" si="17"/>
        <v>1</v>
      </c>
      <c r="H125">
        <f t="shared" si="20"/>
        <v>20</v>
      </c>
      <c r="I125">
        <f t="shared" si="21"/>
        <v>1</v>
      </c>
      <c r="J125" t="str">
        <f>'IA - Medium'!G36</f>
        <v xml:space="preserve">Stem Bolts: 40mm -----  Aerobar Bolts: Top 35mm; Bottom 30mm </v>
      </c>
      <c r="K125" s="6">
        <v>1</v>
      </c>
      <c r="L125" t="s">
        <v>11</v>
      </c>
    </row>
    <row r="126" spans="3:12" x14ac:dyDescent="0.25">
      <c r="C126">
        <f>'IA - Medium'!D37</f>
        <v>665</v>
      </c>
      <c r="D126" t="str">
        <f>'IA - Medium'!B37</f>
        <v>Frame: 54 ----- Stem: Integrated w/15 ----- Aerobar: + 40 + bridge + 10</v>
      </c>
      <c r="E126">
        <f t="shared" si="19"/>
        <v>1</v>
      </c>
      <c r="F126" t="str">
        <f t="shared" si="16"/>
        <v/>
      </c>
      <c r="G126">
        <f t="shared" si="17"/>
        <v>1</v>
      </c>
      <c r="H126">
        <f t="shared" si="20"/>
        <v>20</v>
      </c>
      <c r="I126">
        <f t="shared" si="21"/>
        <v>1</v>
      </c>
      <c r="J126" t="str">
        <f>'IA - Medium'!G37</f>
        <v xml:space="preserve">Stem Bolts: 40mm -----  Aerobar Bolts: Top 40mm; Bottom 30mm </v>
      </c>
      <c r="K126" s="6">
        <v>1</v>
      </c>
      <c r="L126" t="s">
        <v>11</v>
      </c>
    </row>
    <row r="127" spans="3:12" x14ac:dyDescent="0.25">
      <c r="C127">
        <f>'IA - Medium'!D38</f>
        <v>670</v>
      </c>
      <c r="D127" t="str">
        <f>'IA - Medium'!B38</f>
        <v>Frame: 54 ----- Stem: Integrated w/15 ----- Aerobar: + 40 + bridge + 10 + 5</v>
      </c>
      <c r="E127">
        <f t="shared" si="19"/>
        <v>1</v>
      </c>
      <c r="F127" t="str">
        <f t="shared" si="16"/>
        <v/>
      </c>
      <c r="G127">
        <f t="shared" si="17"/>
        <v>1</v>
      </c>
      <c r="H127">
        <f t="shared" si="20"/>
        <v>20</v>
      </c>
      <c r="I127">
        <f t="shared" si="21"/>
        <v>1</v>
      </c>
      <c r="J127" t="str">
        <f>'IA - Medium'!G38</f>
        <v xml:space="preserve">Stem Bolts: 40mm -----  Aerobar Bolts: Top 45mm; Bottom 30mm </v>
      </c>
      <c r="K127" s="6">
        <v>1</v>
      </c>
      <c r="L127" t="s">
        <v>11</v>
      </c>
    </row>
    <row r="128" spans="3:12" x14ac:dyDescent="0.25">
      <c r="C128" s="6">
        <f>'IA - Medium'!D39</f>
        <v>0</v>
      </c>
      <c r="D128" s="6" t="str">
        <f>'IA - Medium'!B39</f>
        <v xml:space="preserve">Frame: 54 ----- Stem: Integrated w/30 ----- Aerobar: </v>
      </c>
      <c r="E128" s="6">
        <f t="shared" si="19"/>
        <v>1</v>
      </c>
      <c r="F128" s="6">
        <f t="shared" si="16"/>
        <v>1</v>
      </c>
      <c r="G128" s="6" t="str">
        <f t="shared" si="17"/>
        <v/>
      </c>
      <c r="H128" s="6">
        <f t="shared" si="20"/>
        <v>20</v>
      </c>
      <c r="I128" s="6">
        <f t="shared" si="21"/>
        <v>1</v>
      </c>
      <c r="J128" s="6" t="str">
        <f>'IA - Medium'!G39</f>
        <v xml:space="preserve">Stem Bolts: 55mm -----  Aerobar Bolts: Top N/A; Bottom N/A </v>
      </c>
      <c r="K128" s="6">
        <v>1</v>
      </c>
      <c r="L128" t="s">
        <v>11</v>
      </c>
    </row>
    <row r="129" spans="3:12" x14ac:dyDescent="0.25">
      <c r="C129" s="6">
        <f>'IA - Medium'!D40</f>
        <v>630</v>
      </c>
      <c r="D129" s="6" t="str">
        <f>'IA - Medium'!B40</f>
        <v>Frame: 54 ----- Stem: Integrated w/30 ----- Aerobar: + 5</v>
      </c>
      <c r="E129" s="6">
        <f t="shared" si="19"/>
        <v>1</v>
      </c>
      <c r="F129" s="6">
        <f t="shared" si="16"/>
        <v>1</v>
      </c>
      <c r="G129" s="6" t="str">
        <f t="shared" si="17"/>
        <v/>
      </c>
      <c r="H129" s="6">
        <f t="shared" si="20"/>
        <v>20</v>
      </c>
      <c r="I129" s="6">
        <f t="shared" si="21"/>
        <v>1</v>
      </c>
      <c r="J129" s="6" t="str">
        <f>'IA - Medium'!G40</f>
        <v xml:space="preserve">Stem Bolts: 55mm -----  Aerobar Bolts: Top 45mm; Bottom N/A </v>
      </c>
      <c r="K129" s="6">
        <v>1</v>
      </c>
      <c r="L129" t="s">
        <v>11</v>
      </c>
    </row>
    <row r="130" spans="3:12" x14ac:dyDescent="0.25">
      <c r="C130" s="6">
        <f>'IA - Medium'!D41</f>
        <v>635</v>
      </c>
      <c r="D130" s="6" t="str">
        <f>'IA - Medium'!B41</f>
        <v>Frame: 54 ----- Stem: Integrated w/30 ----- Aerobar: + 10</v>
      </c>
      <c r="E130" s="6">
        <f t="shared" si="19"/>
        <v>1</v>
      </c>
      <c r="F130" s="6">
        <f t="shared" si="16"/>
        <v>1</v>
      </c>
      <c r="G130" s="6" t="str">
        <f t="shared" si="17"/>
        <v/>
      </c>
      <c r="H130" s="6">
        <f t="shared" si="20"/>
        <v>20</v>
      </c>
      <c r="I130" s="6">
        <f t="shared" si="21"/>
        <v>1</v>
      </c>
      <c r="J130" s="6" t="str">
        <f>'IA - Medium'!G41</f>
        <v xml:space="preserve">Stem Bolts: 55mm -----  Aerobar Bolts: Top 50mm; Bottom N/A </v>
      </c>
      <c r="K130" s="6">
        <v>1</v>
      </c>
      <c r="L130" t="s">
        <v>11</v>
      </c>
    </row>
    <row r="131" spans="3:12" x14ac:dyDescent="0.25">
      <c r="C131" s="6">
        <f>'IA - Medium'!D42</f>
        <v>640</v>
      </c>
      <c r="D131" s="6" t="str">
        <f>'IA - Medium'!B42</f>
        <v>Frame: 54 ----- Stem: Integrated w/30 ----- Aerobar: + 5 + 10</v>
      </c>
      <c r="E131" s="6">
        <f t="shared" si="19"/>
        <v>1</v>
      </c>
      <c r="F131" s="6">
        <f t="shared" si="16"/>
        <v>1</v>
      </c>
      <c r="G131" s="6" t="str">
        <f t="shared" si="17"/>
        <v/>
      </c>
      <c r="H131" s="6">
        <f t="shared" si="20"/>
        <v>20</v>
      </c>
      <c r="I131" s="6">
        <f t="shared" si="21"/>
        <v>1</v>
      </c>
      <c r="J131" s="6" t="str">
        <f>'IA - Medium'!G42</f>
        <v xml:space="preserve">Stem Bolts: 55mm -----  Aerobar Bolts: Top 55mm; Bottom N/A </v>
      </c>
      <c r="K131" s="6">
        <v>1</v>
      </c>
      <c r="L131" t="s">
        <v>11</v>
      </c>
    </row>
    <row r="132" spans="3:12" x14ac:dyDescent="0.25">
      <c r="C132" s="6">
        <f>'IA - Medium'!D43</f>
        <v>645</v>
      </c>
      <c r="D132" s="6" t="str">
        <f>'IA - Medium'!B43</f>
        <v>Frame: 54 ----- Stem: Integrated w/30 ----- Aerobar: + 20</v>
      </c>
      <c r="E132" s="6">
        <f t="shared" si="19"/>
        <v>1</v>
      </c>
      <c r="F132" s="6">
        <f t="shared" si="16"/>
        <v>1</v>
      </c>
      <c r="G132" s="6" t="str">
        <f t="shared" si="17"/>
        <v/>
      </c>
      <c r="H132" s="6">
        <f t="shared" si="20"/>
        <v>20</v>
      </c>
      <c r="I132" s="6">
        <f t="shared" si="21"/>
        <v>1</v>
      </c>
      <c r="J132" s="6" t="str">
        <f>'IA - Medium'!G43</f>
        <v xml:space="preserve">Stem Bolts: 55mm -----  Aerobar Bolts: Top 20mm; Bottom 30mm </v>
      </c>
      <c r="K132" s="6">
        <v>1</v>
      </c>
      <c r="L132" t="s">
        <v>11</v>
      </c>
    </row>
    <row r="133" spans="3:12" x14ac:dyDescent="0.25">
      <c r="C133" s="6">
        <f>'IA - Medium'!D44</f>
        <v>650</v>
      </c>
      <c r="D133" s="6" t="str">
        <f>'IA - Medium'!B44</f>
        <v>Frame: 54 ----- Stem: Integrated w/30 ----- Aerobar: + 20 + 5</v>
      </c>
      <c r="E133" s="6">
        <f t="shared" si="19"/>
        <v>1</v>
      </c>
      <c r="F133" s="6">
        <f t="shared" si="16"/>
        <v>1</v>
      </c>
      <c r="G133" s="6" t="str">
        <f t="shared" si="17"/>
        <v/>
      </c>
      <c r="H133" s="6">
        <f t="shared" si="20"/>
        <v>20</v>
      </c>
      <c r="I133" s="6">
        <f t="shared" si="21"/>
        <v>1</v>
      </c>
      <c r="J133" s="6" t="str">
        <f>'IA - Medium'!G44</f>
        <v xml:space="preserve">Stem Bolts: 55mm -----  Aerobar Bolts: Top 25mm; Bottom 30mm </v>
      </c>
      <c r="K133" s="6">
        <v>1</v>
      </c>
      <c r="L133" t="s">
        <v>11</v>
      </c>
    </row>
    <row r="134" spans="3:12" x14ac:dyDescent="0.25">
      <c r="C134" s="6">
        <f>'IA - Medium'!D45</f>
        <v>650</v>
      </c>
      <c r="D134" s="6" t="str">
        <f>'IA - Medium'!B45</f>
        <v>Frame: 54 ----- Stem: Integrated w/30 ----- Aerobar: + 20 + bridge</v>
      </c>
      <c r="E134" s="6">
        <f t="shared" si="19"/>
        <v>1</v>
      </c>
      <c r="F134" s="6">
        <f t="shared" si="16"/>
        <v>1</v>
      </c>
      <c r="G134" s="6" t="str">
        <f t="shared" si="17"/>
        <v/>
      </c>
      <c r="H134" s="6">
        <f t="shared" si="20"/>
        <v>20</v>
      </c>
      <c r="I134" s="6">
        <f t="shared" si="21"/>
        <v>1</v>
      </c>
      <c r="J134" s="6" t="str">
        <f>'IA - Medium'!G45</f>
        <v xml:space="preserve">Stem Bolts: 55mm -----  Aerobar Bolts: Top 25mm; Bottom 30mm </v>
      </c>
      <c r="K134" s="6">
        <v>1</v>
      </c>
      <c r="L134" t="s">
        <v>11</v>
      </c>
    </row>
    <row r="135" spans="3:12" x14ac:dyDescent="0.25">
      <c r="C135" s="6">
        <f>'IA - Medium'!D46</f>
        <v>655</v>
      </c>
      <c r="D135" s="6" t="str">
        <f>'IA - Medium'!B46</f>
        <v>Frame: 54 ----- Stem: Integrated w/30 ----- Aerobar: + 30</v>
      </c>
      <c r="E135" s="6">
        <f t="shared" si="19"/>
        <v>1</v>
      </c>
      <c r="F135" s="6">
        <f t="shared" si="16"/>
        <v>1</v>
      </c>
      <c r="G135" s="6" t="str">
        <f t="shared" si="17"/>
        <v/>
      </c>
      <c r="H135" s="6">
        <f t="shared" si="20"/>
        <v>20</v>
      </c>
      <c r="I135" s="6">
        <f t="shared" si="21"/>
        <v>1</v>
      </c>
      <c r="J135" s="6" t="str">
        <f>'IA - Medium'!G46</f>
        <v xml:space="preserve">Stem Bolts: 55mm -----  Aerobar Bolts: Top 25mm; Bottom 30mm </v>
      </c>
      <c r="K135" s="6">
        <v>1</v>
      </c>
      <c r="L135" t="s">
        <v>11</v>
      </c>
    </row>
    <row r="136" spans="3:12" x14ac:dyDescent="0.25">
      <c r="C136" s="6">
        <f>'IA - Medium'!D47</f>
        <v>655</v>
      </c>
      <c r="D136" s="6" t="str">
        <f>'IA - Medium'!B47</f>
        <v>Frame: 54 ----- Stem: Integrated w/30 ----- Aerobar: + 20 + bridge + 5</v>
      </c>
      <c r="E136" s="6">
        <f t="shared" si="19"/>
        <v>1</v>
      </c>
      <c r="F136" s="6">
        <f t="shared" si="16"/>
        <v>1</v>
      </c>
      <c r="G136" s="6" t="str">
        <f t="shared" si="17"/>
        <v/>
      </c>
      <c r="H136" s="6">
        <f t="shared" si="20"/>
        <v>20</v>
      </c>
      <c r="I136" s="6">
        <f t="shared" si="21"/>
        <v>1</v>
      </c>
      <c r="J136" s="6" t="str">
        <f>'IA - Medium'!G47</f>
        <v xml:space="preserve">Stem Bolts: 55mm -----  Aerobar Bolts: Top 30mm; Bottom 30mm </v>
      </c>
      <c r="K136" s="6">
        <v>1</v>
      </c>
      <c r="L136" t="s">
        <v>11</v>
      </c>
    </row>
    <row r="137" spans="3:12" x14ac:dyDescent="0.25">
      <c r="C137" s="6">
        <f>'IA - Medium'!D48</f>
        <v>660</v>
      </c>
      <c r="D137" s="6" t="str">
        <f>'IA - Medium'!B48</f>
        <v>Frame: 54 ----- Stem: Integrated w/30 ----- Aerobar: + 30 + bridge</v>
      </c>
      <c r="E137" s="6">
        <f t="shared" si="19"/>
        <v>1</v>
      </c>
      <c r="F137" s="6">
        <f t="shared" ref="F137:F200" si="22">IF(ISNUMBER(FIND("30",D137)),1,"")</f>
        <v>1</v>
      </c>
      <c r="G137" s="6" t="str">
        <f t="shared" si="17"/>
        <v/>
      </c>
      <c r="H137" s="6">
        <f t="shared" si="20"/>
        <v>20</v>
      </c>
      <c r="I137" s="6">
        <f t="shared" si="21"/>
        <v>1</v>
      </c>
      <c r="J137" s="6" t="str">
        <f>'IA - Medium'!G48</f>
        <v xml:space="preserve">Stem Bolts: 55mm -----  Aerobar Bolts: Top 30mm; Bottom 30mm </v>
      </c>
      <c r="K137" s="6">
        <v>1</v>
      </c>
      <c r="L137" t="s">
        <v>11</v>
      </c>
    </row>
    <row r="138" spans="3:12" x14ac:dyDescent="0.25">
      <c r="C138" s="6">
        <f>'IA - Medium'!D49</f>
        <v>665</v>
      </c>
      <c r="D138" s="6" t="str">
        <f>'IA - Medium'!B49</f>
        <v>Frame: 54 ----- Stem: Integrated w/30 ----- Aerobar: + 30 + bridge + 5</v>
      </c>
      <c r="E138" s="6">
        <f t="shared" si="19"/>
        <v>1</v>
      </c>
      <c r="F138" s="6">
        <f t="shared" si="22"/>
        <v>1</v>
      </c>
      <c r="G138" s="6" t="str">
        <f t="shared" ref="G138:G201" si="23">IF(ISNUMBER(FIND("40",D138)),1,"")</f>
        <v/>
      </c>
      <c r="H138" s="6">
        <f t="shared" si="20"/>
        <v>20</v>
      </c>
      <c r="I138" s="6">
        <f t="shared" si="21"/>
        <v>1</v>
      </c>
      <c r="J138" s="6" t="str">
        <f>'IA - Medium'!G49</f>
        <v xml:space="preserve">Stem Bolts: 55mm -----  Aerobar Bolts: Top 35mm; Bottom 30mm </v>
      </c>
      <c r="K138" s="6">
        <v>1</v>
      </c>
      <c r="L138" t="s">
        <v>11</v>
      </c>
    </row>
    <row r="139" spans="3:12" x14ac:dyDescent="0.25">
      <c r="C139" s="6">
        <f>'IA - Medium'!D50</f>
        <v>670</v>
      </c>
      <c r="D139" s="6" t="str">
        <f>'IA - Medium'!B50</f>
        <v>Frame: 54 ----- Stem: Integrated w/30 ----- Aerobar: + 40 + bridge</v>
      </c>
      <c r="E139" s="6">
        <f t="shared" si="19"/>
        <v>1</v>
      </c>
      <c r="F139" s="6">
        <f t="shared" si="22"/>
        <v>1</v>
      </c>
      <c r="G139" s="6">
        <f t="shared" si="23"/>
        <v>1</v>
      </c>
      <c r="H139" s="6">
        <f t="shared" si="20"/>
        <v>20</v>
      </c>
      <c r="I139" s="6">
        <f t="shared" si="21"/>
        <v>1</v>
      </c>
      <c r="J139" s="6" t="str">
        <f>'IA - Medium'!G50</f>
        <v xml:space="preserve">Stem Bolts: 55mm -----  Aerobar Bolts: Top 35mm; Bottom 30mm </v>
      </c>
      <c r="K139" s="6">
        <v>1</v>
      </c>
      <c r="L139" t="s">
        <v>11</v>
      </c>
    </row>
    <row r="140" spans="3:12" x14ac:dyDescent="0.25">
      <c r="C140" s="6">
        <f>'IA - Medium'!D51</f>
        <v>675</v>
      </c>
      <c r="D140" s="6" t="str">
        <f>'IA - Medium'!B51</f>
        <v>Frame: 54 ----- Stem: Integrated w/30 ----- Aerobar: + 40 + bridge + 5</v>
      </c>
      <c r="E140" s="6">
        <f t="shared" si="19"/>
        <v>1</v>
      </c>
      <c r="F140" s="6">
        <f t="shared" si="22"/>
        <v>1</v>
      </c>
      <c r="G140" s="6">
        <f t="shared" si="23"/>
        <v>1</v>
      </c>
      <c r="H140" s="6">
        <f t="shared" si="20"/>
        <v>20</v>
      </c>
      <c r="I140" s="6">
        <f t="shared" si="21"/>
        <v>1</v>
      </c>
      <c r="J140" s="6" t="str">
        <f>'IA - Medium'!G51</f>
        <v xml:space="preserve">Stem Bolts: 55mm -----  Aerobar Bolts: Top 35mm; Bottom 30mm </v>
      </c>
      <c r="K140" s="6">
        <v>1</v>
      </c>
      <c r="L140" t="s">
        <v>11</v>
      </c>
    </row>
    <row r="141" spans="3:12" x14ac:dyDescent="0.25">
      <c r="C141" s="6">
        <f>'IA - Medium'!D52</f>
        <v>680</v>
      </c>
      <c r="D141" s="6" t="str">
        <f>'IA - Medium'!B52</f>
        <v>Frame: 54 ----- Stem: Integrated w/30 ----- Aerobar: + 40 + bridge + 10</v>
      </c>
      <c r="E141" s="6">
        <f t="shared" si="19"/>
        <v>1</v>
      </c>
      <c r="F141" s="6">
        <f t="shared" si="22"/>
        <v>1</v>
      </c>
      <c r="G141" s="6">
        <f t="shared" si="23"/>
        <v>1</v>
      </c>
      <c r="H141" s="6">
        <f t="shared" si="20"/>
        <v>20</v>
      </c>
      <c r="I141" s="6">
        <f t="shared" si="21"/>
        <v>1</v>
      </c>
      <c r="J141" s="6" t="str">
        <f>'IA - Medium'!G52</f>
        <v xml:space="preserve">Stem Bolts: 55mm -----  Aerobar Bolts: Top 40mm; Bottom 30mm </v>
      </c>
      <c r="K141" s="6">
        <v>1</v>
      </c>
      <c r="L141" t="s">
        <v>11</v>
      </c>
    </row>
    <row r="142" spans="3:12" x14ac:dyDescent="0.25">
      <c r="C142" s="6">
        <f>'IA - Medium'!D53</f>
        <v>685</v>
      </c>
      <c r="D142" s="6" t="str">
        <f>'IA - Medium'!B53</f>
        <v>Frame: 54 ----- Stem: Integrated w/30 ----- Aerobar: + 40 + bridge + 10 + 5</v>
      </c>
      <c r="E142" s="6">
        <f t="shared" si="19"/>
        <v>1</v>
      </c>
      <c r="F142" s="6">
        <f t="shared" si="22"/>
        <v>1</v>
      </c>
      <c r="G142" s="6">
        <f t="shared" si="23"/>
        <v>1</v>
      </c>
      <c r="H142" s="6">
        <f t="shared" si="20"/>
        <v>20</v>
      </c>
      <c r="I142" s="6">
        <f t="shared" si="21"/>
        <v>1</v>
      </c>
      <c r="J142" s="6" t="str">
        <f>'IA - Medium'!G53</f>
        <v xml:space="preserve">Stem Bolts: 55mm -----  Aerobar Bolts: Top 45mm; Bottom 30mm </v>
      </c>
      <c r="K142" s="6">
        <v>1</v>
      </c>
      <c r="L142" t="s">
        <v>11</v>
      </c>
    </row>
    <row r="143" spans="3:12" x14ac:dyDescent="0.25">
      <c r="C143">
        <f>'IA - Small'!D9</f>
        <v>0</v>
      </c>
      <c r="D143" t="str">
        <f>'IA - Small'!B9</f>
        <v>Frame: 51 ----- Stem: Integrated ----- Aerobar:</v>
      </c>
      <c r="E143">
        <f t="shared" ref="E143:E187" si="24">$W$6*$X$6</f>
        <v>1</v>
      </c>
      <c r="F143" t="str">
        <f t="shared" si="22"/>
        <v/>
      </c>
      <c r="G143" t="str">
        <f t="shared" si="23"/>
        <v/>
      </c>
      <c r="H143">
        <f t="shared" ref="H143:H187" si="25">$E$4-$U$21</f>
        <v>36</v>
      </c>
      <c r="I143">
        <f t="shared" ref="I143:I187" si="26">$AC$6</f>
        <v>1</v>
      </c>
      <c r="J143" t="str">
        <f>'IA - Small'!G9</f>
        <v xml:space="preserve">Stem Bolts: 25mm -----  Aerobar Bolts: Top N/A; Bottom N/A </v>
      </c>
      <c r="K143" s="6">
        <v>1</v>
      </c>
      <c r="L143" t="s">
        <v>11</v>
      </c>
    </row>
    <row r="144" spans="3:12" x14ac:dyDescent="0.25">
      <c r="C144">
        <f>'IA - Small'!D10</f>
        <v>580</v>
      </c>
      <c r="D144" t="str">
        <f>'IA - Small'!B10</f>
        <v>Frame: 51 ----- Stem: Integrated ----- Aerobar:+ 5</v>
      </c>
      <c r="E144">
        <f t="shared" si="24"/>
        <v>1</v>
      </c>
      <c r="F144" t="str">
        <f t="shared" si="22"/>
        <v/>
      </c>
      <c r="G144" t="str">
        <f t="shared" si="23"/>
        <v/>
      </c>
      <c r="H144">
        <f t="shared" si="25"/>
        <v>36</v>
      </c>
      <c r="I144">
        <f t="shared" si="26"/>
        <v>1</v>
      </c>
      <c r="J144" t="str">
        <f>'IA - Small'!G10</f>
        <v xml:space="preserve">Stem Bolts: 25mm -----  Aerobar Bolts: Top 45mm; Bottom N/A </v>
      </c>
      <c r="K144" s="6">
        <v>1</v>
      </c>
      <c r="L144" t="s">
        <v>11</v>
      </c>
    </row>
    <row r="145" spans="3:12" x14ac:dyDescent="0.25">
      <c r="C145">
        <f>'IA - Small'!D11</f>
        <v>585</v>
      </c>
      <c r="D145" t="str">
        <f>'IA - Small'!B11</f>
        <v>Frame: 51 ----- Stem: Integrated ----- Aerobar:+ 10</v>
      </c>
      <c r="E145">
        <f t="shared" si="24"/>
        <v>1</v>
      </c>
      <c r="F145" t="str">
        <f t="shared" si="22"/>
        <v/>
      </c>
      <c r="G145" t="str">
        <f t="shared" si="23"/>
        <v/>
      </c>
      <c r="H145">
        <f t="shared" si="25"/>
        <v>36</v>
      </c>
      <c r="I145">
        <f t="shared" si="26"/>
        <v>1</v>
      </c>
      <c r="J145" t="str">
        <f>'IA - Small'!G11</f>
        <v xml:space="preserve">Stem Bolts: 25mm -----  Aerobar Bolts: Top 50mm; Bottom N/A </v>
      </c>
      <c r="K145" s="6">
        <v>1</v>
      </c>
      <c r="L145" t="s">
        <v>11</v>
      </c>
    </row>
    <row r="146" spans="3:12" x14ac:dyDescent="0.25">
      <c r="C146">
        <f>'IA - Small'!D12</f>
        <v>590</v>
      </c>
      <c r="D146" t="str">
        <f>'IA - Small'!B12</f>
        <v>Frame: 51 ----- Stem: Integrated ----- Aerobar:+ 5 + 10</v>
      </c>
      <c r="E146">
        <f t="shared" si="24"/>
        <v>1</v>
      </c>
      <c r="F146" t="str">
        <f t="shared" si="22"/>
        <v/>
      </c>
      <c r="G146" t="str">
        <f t="shared" si="23"/>
        <v/>
      </c>
      <c r="H146">
        <f t="shared" si="25"/>
        <v>36</v>
      </c>
      <c r="I146">
        <f t="shared" si="26"/>
        <v>1</v>
      </c>
      <c r="J146" t="str">
        <f>'IA - Small'!G12</f>
        <v xml:space="preserve">Stem Bolts: 25mm -----  Aerobar Bolts: Top 55mm; Bottom N/A </v>
      </c>
      <c r="K146" s="6">
        <v>1</v>
      </c>
      <c r="L146" t="s">
        <v>11</v>
      </c>
    </row>
    <row r="147" spans="3:12" x14ac:dyDescent="0.25">
      <c r="C147">
        <f>'IA - Small'!D13</f>
        <v>595</v>
      </c>
      <c r="D147" t="str">
        <f>'IA - Small'!B13</f>
        <v>Frame: 51 ----- Stem: Integrated ----- Aerobar:+ 20</v>
      </c>
      <c r="E147">
        <f t="shared" si="24"/>
        <v>1</v>
      </c>
      <c r="F147" t="str">
        <f t="shared" si="22"/>
        <v/>
      </c>
      <c r="G147" t="str">
        <f t="shared" si="23"/>
        <v/>
      </c>
      <c r="H147">
        <f t="shared" si="25"/>
        <v>36</v>
      </c>
      <c r="I147">
        <f t="shared" si="26"/>
        <v>1</v>
      </c>
      <c r="J147" t="str">
        <f>'IA - Small'!G13</f>
        <v xml:space="preserve">Stem Bolts: 25mm -----  Aerobar Bolts: Top 20mm; Bottom 30mm </v>
      </c>
      <c r="K147" s="6">
        <v>1</v>
      </c>
      <c r="L147" t="s">
        <v>11</v>
      </c>
    </row>
    <row r="148" spans="3:12" x14ac:dyDescent="0.25">
      <c r="C148">
        <f>'IA - Small'!D14</f>
        <v>600</v>
      </c>
      <c r="D148" t="str">
        <f>'IA - Small'!B14</f>
        <v>Frame: 51 ----- Stem: Integrated ----- Aerobar:+ 20 + 5</v>
      </c>
      <c r="E148">
        <f t="shared" si="24"/>
        <v>1</v>
      </c>
      <c r="F148" t="str">
        <f t="shared" si="22"/>
        <v/>
      </c>
      <c r="G148" t="str">
        <f t="shared" si="23"/>
        <v/>
      </c>
      <c r="H148">
        <f t="shared" si="25"/>
        <v>36</v>
      </c>
      <c r="I148">
        <f t="shared" si="26"/>
        <v>1</v>
      </c>
      <c r="J148" t="str">
        <f>'IA - Small'!G14</f>
        <v xml:space="preserve">Stem Bolts: 25mm -----  Aerobar Bolts: Top 25mm; Bottom 30mm </v>
      </c>
      <c r="K148" s="6">
        <v>1</v>
      </c>
      <c r="L148" t="s">
        <v>11</v>
      </c>
    </row>
    <row r="149" spans="3:12" x14ac:dyDescent="0.25">
      <c r="C149">
        <f>'IA - Small'!D15</f>
        <v>600</v>
      </c>
      <c r="D149" t="str">
        <f>'IA - Small'!B15</f>
        <v>Frame: 51 ----- Stem: Integrated ----- Aerobar:+ 20 + bridge</v>
      </c>
      <c r="E149">
        <f t="shared" si="24"/>
        <v>1</v>
      </c>
      <c r="F149" t="str">
        <f t="shared" si="22"/>
        <v/>
      </c>
      <c r="G149" t="str">
        <f t="shared" si="23"/>
        <v/>
      </c>
      <c r="H149">
        <f t="shared" si="25"/>
        <v>36</v>
      </c>
      <c r="I149">
        <f t="shared" si="26"/>
        <v>1</v>
      </c>
      <c r="J149" t="str">
        <f>'IA - Small'!G15</f>
        <v xml:space="preserve">Stem Bolts: 25mm -----  Aerobar Bolts: Top 25mm; Bottom 30mm </v>
      </c>
      <c r="K149" s="6">
        <v>1</v>
      </c>
      <c r="L149" t="s">
        <v>11</v>
      </c>
    </row>
    <row r="150" spans="3:12" x14ac:dyDescent="0.25">
      <c r="C150">
        <f>'IA - Small'!D16</f>
        <v>605</v>
      </c>
      <c r="D150" t="str">
        <f>'IA - Small'!B16</f>
        <v>Frame: 51 ----- Stem: Integrated ----- Aerobar:+ 30</v>
      </c>
      <c r="E150">
        <f t="shared" si="24"/>
        <v>1</v>
      </c>
      <c r="F150">
        <f t="shared" si="22"/>
        <v>1</v>
      </c>
      <c r="G150" t="str">
        <f t="shared" si="23"/>
        <v/>
      </c>
      <c r="H150">
        <f t="shared" si="25"/>
        <v>36</v>
      </c>
      <c r="I150">
        <f t="shared" si="26"/>
        <v>1</v>
      </c>
      <c r="J150" t="str">
        <f>'IA - Small'!G16</f>
        <v xml:space="preserve">Stem Bolts: 25mm -----  Aerobar Bolts: Top 25mm; Bottom 30mm </v>
      </c>
      <c r="K150" s="6">
        <v>1</v>
      </c>
      <c r="L150" t="s">
        <v>11</v>
      </c>
    </row>
    <row r="151" spans="3:12" x14ac:dyDescent="0.25">
      <c r="C151">
        <f>'IA - Small'!D17</f>
        <v>605</v>
      </c>
      <c r="D151" t="str">
        <f>'IA - Small'!B17</f>
        <v>Frame: 51 ----- Stem: Integrated ----- Aerobar:+ 20 + bridge + 5</v>
      </c>
      <c r="E151">
        <f t="shared" si="24"/>
        <v>1</v>
      </c>
      <c r="F151" t="str">
        <f t="shared" si="22"/>
        <v/>
      </c>
      <c r="G151" t="str">
        <f t="shared" si="23"/>
        <v/>
      </c>
      <c r="H151">
        <f t="shared" si="25"/>
        <v>36</v>
      </c>
      <c r="I151">
        <f t="shared" si="26"/>
        <v>1</v>
      </c>
      <c r="J151" t="str">
        <f>'IA - Small'!G17</f>
        <v xml:space="preserve">Stem Bolts: 25mm -----  Aerobar Bolts: Top 30mm; Bottom 30mm </v>
      </c>
      <c r="K151" s="6">
        <v>1</v>
      </c>
      <c r="L151" t="s">
        <v>11</v>
      </c>
    </row>
    <row r="152" spans="3:12" x14ac:dyDescent="0.25">
      <c r="C152">
        <f>'IA - Small'!D18</f>
        <v>610</v>
      </c>
      <c r="D152" t="str">
        <f>'IA - Small'!B18</f>
        <v>Frame: 51 ----- Stem: Integrated ----- Aerobar:+ 30 + bridge</v>
      </c>
      <c r="E152">
        <f t="shared" si="24"/>
        <v>1</v>
      </c>
      <c r="F152">
        <f t="shared" si="22"/>
        <v>1</v>
      </c>
      <c r="G152" t="str">
        <f t="shared" si="23"/>
        <v/>
      </c>
      <c r="H152">
        <f t="shared" si="25"/>
        <v>36</v>
      </c>
      <c r="I152">
        <f t="shared" si="26"/>
        <v>1</v>
      </c>
      <c r="J152" t="str">
        <f>'IA - Small'!G18</f>
        <v xml:space="preserve">Stem Bolts: 25mm -----  Aerobar Bolts: Top 30mm; Bottom 30mm </v>
      </c>
      <c r="K152" s="6">
        <v>1</v>
      </c>
      <c r="L152" t="s">
        <v>11</v>
      </c>
    </row>
    <row r="153" spans="3:12" x14ac:dyDescent="0.25">
      <c r="C153">
        <f>'IA - Small'!D19</f>
        <v>615</v>
      </c>
      <c r="D153" t="str">
        <f>'IA - Small'!B19</f>
        <v>Frame: 51 ----- Stem: Integrated ----- Aerobar:+ 30 + bridge + 5</v>
      </c>
      <c r="E153">
        <f t="shared" si="24"/>
        <v>1</v>
      </c>
      <c r="F153">
        <f t="shared" si="22"/>
        <v>1</v>
      </c>
      <c r="G153" t="str">
        <f t="shared" si="23"/>
        <v/>
      </c>
      <c r="H153">
        <f t="shared" si="25"/>
        <v>36</v>
      </c>
      <c r="I153">
        <f t="shared" si="26"/>
        <v>1</v>
      </c>
      <c r="J153" t="str">
        <f>'IA - Small'!G19</f>
        <v xml:space="preserve">Stem Bolts: 25mm -----  Aerobar Bolts: Top 35mm; Bottom 30mm </v>
      </c>
      <c r="K153" s="6">
        <v>1</v>
      </c>
      <c r="L153" t="s">
        <v>11</v>
      </c>
    </row>
    <row r="154" spans="3:12" x14ac:dyDescent="0.25">
      <c r="C154">
        <f>'IA - Small'!D20</f>
        <v>620</v>
      </c>
      <c r="D154" t="str">
        <f>'IA - Small'!B20</f>
        <v>Frame: 51 ----- Stem: Integrated ----- Aerobar:+ 40 + bridge</v>
      </c>
      <c r="E154">
        <f t="shared" si="24"/>
        <v>1</v>
      </c>
      <c r="F154" t="str">
        <f t="shared" si="22"/>
        <v/>
      </c>
      <c r="G154">
        <f t="shared" si="23"/>
        <v>1</v>
      </c>
      <c r="H154">
        <f t="shared" si="25"/>
        <v>36</v>
      </c>
      <c r="I154">
        <f t="shared" si="26"/>
        <v>1</v>
      </c>
      <c r="J154" t="str">
        <f>'IA - Small'!G20</f>
        <v xml:space="preserve">Stem Bolts: 25mm -----  Aerobar Bolts: Top 35mm; Bottom 30mm </v>
      </c>
      <c r="K154" s="6">
        <v>1</v>
      </c>
      <c r="L154" t="s">
        <v>11</v>
      </c>
    </row>
    <row r="155" spans="3:12" x14ac:dyDescent="0.25">
      <c r="C155">
        <f>'IA - Small'!D21</f>
        <v>625</v>
      </c>
      <c r="D155" t="str">
        <f>'IA - Small'!B21</f>
        <v>Frame: 51 ----- Stem: Integrated ----- Aerobar:+ 40 + bridge + 5</v>
      </c>
      <c r="E155">
        <f t="shared" si="24"/>
        <v>1</v>
      </c>
      <c r="F155" t="str">
        <f t="shared" si="22"/>
        <v/>
      </c>
      <c r="G155">
        <f t="shared" si="23"/>
        <v>1</v>
      </c>
      <c r="H155">
        <f t="shared" si="25"/>
        <v>36</v>
      </c>
      <c r="I155">
        <f t="shared" si="26"/>
        <v>1</v>
      </c>
      <c r="J155" t="str">
        <f>'IA - Small'!G21</f>
        <v xml:space="preserve">Stem Bolts: 25mm -----  Aerobar Bolts: Top 35mm; Bottom 30mm </v>
      </c>
      <c r="K155" s="6">
        <v>1</v>
      </c>
      <c r="L155" t="s">
        <v>11</v>
      </c>
    </row>
    <row r="156" spans="3:12" x14ac:dyDescent="0.25">
      <c r="C156">
        <f>'IA - Small'!D22</f>
        <v>630</v>
      </c>
      <c r="D156" t="str">
        <f>'IA - Small'!B22</f>
        <v>Frame: 51 ----- Stem: Integrated ----- Aerobar:+ 40 + bridge + 10</v>
      </c>
      <c r="E156">
        <f t="shared" si="24"/>
        <v>1</v>
      </c>
      <c r="F156" t="str">
        <f t="shared" si="22"/>
        <v/>
      </c>
      <c r="G156">
        <f t="shared" si="23"/>
        <v>1</v>
      </c>
      <c r="H156">
        <f t="shared" si="25"/>
        <v>36</v>
      </c>
      <c r="I156">
        <f t="shared" si="26"/>
        <v>1</v>
      </c>
      <c r="J156" t="str">
        <f>'IA - Small'!G22</f>
        <v xml:space="preserve">Stem Bolts: 25mm -----  Aerobar Bolts: Top 40mm; Bottom 30mm </v>
      </c>
      <c r="K156" s="6">
        <v>1</v>
      </c>
      <c r="L156" t="s">
        <v>11</v>
      </c>
    </row>
    <row r="157" spans="3:12" x14ac:dyDescent="0.25">
      <c r="C157">
        <f>'IA - Small'!D23</f>
        <v>635</v>
      </c>
      <c r="D157" t="str">
        <f>'IA - Small'!B23</f>
        <v>Frame: 51 ----- Stem: Integrated ----- Aerobar:+ 40 + bridge + 10 + 5</v>
      </c>
      <c r="E157">
        <f t="shared" si="24"/>
        <v>1</v>
      </c>
      <c r="F157" t="str">
        <f t="shared" si="22"/>
        <v/>
      </c>
      <c r="G157">
        <f t="shared" si="23"/>
        <v>1</v>
      </c>
      <c r="H157">
        <f t="shared" si="25"/>
        <v>36</v>
      </c>
      <c r="I157">
        <f t="shared" si="26"/>
        <v>1</v>
      </c>
      <c r="J157" t="str">
        <f>'IA - Small'!G23</f>
        <v xml:space="preserve">Stem Bolts: 25mm -----  Aerobar Bolts: Top 45mm; Bottom 30mm </v>
      </c>
      <c r="K157" s="6">
        <v>1</v>
      </c>
      <c r="L157" t="s">
        <v>11</v>
      </c>
    </row>
    <row r="158" spans="3:12" x14ac:dyDescent="0.25">
      <c r="C158" s="6">
        <f>'IA - Small'!D24</f>
        <v>0</v>
      </c>
      <c r="D158" s="6" t="str">
        <f>'IA - Small'!B24</f>
        <v xml:space="preserve">Frame: 51 ----- Stem: Integrated w/15 ----- Aerobar: </v>
      </c>
      <c r="E158" s="6">
        <f t="shared" si="24"/>
        <v>1</v>
      </c>
      <c r="F158" s="6" t="str">
        <f t="shared" si="22"/>
        <v/>
      </c>
      <c r="G158" s="6" t="str">
        <f t="shared" si="23"/>
        <v/>
      </c>
      <c r="H158" s="6">
        <f t="shared" si="25"/>
        <v>36</v>
      </c>
      <c r="I158" s="6">
        <f t="shared" si="26"/>
        <v>1</v>
      </c>
      <c r="J158" s="6" t="str">
        <f>'IA - Small'!G24</f>
        <v xml:space="preserve">Stem Bolts: 40mm -----  Aerobar Bolts: Top N/A; Bottom N/A </v>
      </c>
      <c r="K158" s="6">
        <v>1</v>
      </c>
      <c r="L158" t="s">
        <v>11</v>
      </c>
    </row>
    <row r="159" spans="3:12" x14ac:dyDescent="0.25">
      <c r="C159" s="6">
        <f>'IA - Small'!D25</f>
        <v>595</v>
      </c>
      <c r="D159" s="6" t="str">
        <f>'IA - Small'!B25</f>
        <v>Frame: 51 ----- Stem: Integrated w/15 ----- Aerobar: + 5</v>
      </c>
      <c r="E159" s="6">
        <f t="shared" si="24"/>
        <v>1</v>
      </c>
      <c r="F159" s="6" t="str">
        <f t="shared" si="22"/>
        <v/>
      </c>
      <c r="G159" s="6" t="str">
        <f t="shared" si="23"/>
        <v/>
      </c>
      <c r="H159" s="6">
        <f t="shared" si="25"/>
        <v>36</v>
      </c>
      <c r="I159" s="6">
        <f t="shared" si="26"/>
        <v>1</v>
      </c>
      <c r="J159" s="6" t="str">
        <f>'IA - Small'!G25</f>
        <v xml:space="preserve">Stem Bolts: 40mm -----  Aerobar Bolts: Top 45mm; Bottom N/A </v>
      </c>
      <c r="K159" s="6">
        <v>1</v>
      </c>
      <c r="L159" t="s">
        <v>11</v>
      </c>
    </row>
    <row r="160" spans="3:12" x14ac:dyDescent="0.25">
      <c r="C160" s="6">
        <f>'IA - Small'!D26</f>
        <v>600</v>
      </c>
      <c r="D160" s="6" t="str">
        <f>'IA - Small'!B26</f>
        <v>Frame: 51 ----- Stem: Integrated w/15 ----- Aerobar: + 10</v>
      </c>
      <c r="E160" s="6">
        <f t="shared" si="24"/>
        <v>1</v>
      </c>
      <c r="F160" s="6" t="str">
        <f t="shared" si="22"/>
        <v/>
      </c>
      <c r="G160" s="6" t="str">
        <f t="shared" si="23"/>
        <v/>
      </c>
      <c r="H160" s="6">
        <f t="shared" si="25"/>
        <v>36</v>
      </c>
      <c r="I160" s="6">
        <f t="shared" si="26"/>
        <v>1</v>
      </c>
      <c r="J160" s="6" t="str">
        <f>'IA - Small'!G26</f>
        <v xml:space="preserve">Stem Bolts: 40mm -----  Aerobar Bolts: Top 50mm; Bottom N/A </v>
      </c>
      <c r="K160" s="6">
        <v>1</v>
      </c>
      <c r="L160" t="s">
        <v>11</v>
      </c>
    </row>
    <row r="161" spans="3:12" x14ac:dyDescent="0.25">
      <c r="C161" s="6">
        <f>'IA - Small'!D27</f>
        <v>605</v>
      </c>
      <c r="D161" s="6" t="str">
        <f>'IA - Small'!B27</f>
        <v>Frame: 51 ----- Stem: Integrated w/15 ----- Aerobar: + 5 + 10</v>
      </c>
      <c r="E161" s="6">
        <f t="shared" si="24"/>
        <v>1</v>
      </c>
      <c r="F161" s="6" t="str">
        <f t="shared" si="22"/>
        <v/>
      </c>
      <c r="G161" s="6" t="str">
        <f t="shared" si="23"/>
        <v/>
      </c>
      <c r="H161" s="6">
        <f t="shared" si="25"/>
        <v>36</v>
      </c>
      <c r="I161" s="6">
        <f t="shared" si="26"/>
        <v>1</v>
      </c>
      <c r="J161" s="6" t="str">
        <f>'IA - Small'!G27</f>
        <v xml:space="preserve">Stem Bolts: 40mm -----  Aerobar Bolts: Top 55mm; Bottom N/A </v>
      </c>
      <c r="K161" s="6">
        <v>1</v>
      </c>
      <c r="L161" t="s">
        <v>11</v>
      </c>
    </row>
    <row r="162" spans="3:12" x14ac:dyDescent="0.25">
      <c r="C162" s="6">
        <f>'IA - Small'!D28</f>
        <v>610</v>
      </c>
      <c r="D162" s="6" t="str">
        <f>'IA - Small'!B28</f>
        <v>Frame: 51 ----- Stem: Integrated w/15 ----- Aerobar: + 20</v>
      </c>
      <c r="E162" s="6">
        <f t="shared" si="24"/>
        <v>1</v>
      </c>
      <c r="F162" s="6" t="str">
        <f t="shared" si="22"/>
        <v/>
      </c>
      <c r="G162" s="6" t="str">
        <f t="shared" si="23"/>
        <v/>
      </c>
      <c r="H162" s="6">
        <f t="shared" si="25"/>
        <v>36</v>
      </c>
      <c r="I162" s="6">
        <f t="shared" si="26"/>
        <v>1</v>
      </c>
      <c r="J162" s="6" t="str">
        <f>'IA - Small'!G28</f>
        <v xml:space="preserve">Stem Bolts: 40mm -----  Aerobar Bolts: Top 20mm; Bottom 30mm </v>
      </c>
      <c r="K162" s="6">
        <v>1</v>
      </c>
      <c r="L162" t="s">
        <v>11</v>
      </c>
    </row>
    <row r="163" spans="3:12" x14ac:dyDescent="0.25">
      <c r="C163" s="6">
        <f>'IA - Small'!D29</f>
        <v>615</v>
      </c>
      <c r="D163" s="6" t="str">
        <f>'IA - Small'!B29</f>
        <v>Frame: 51 ----- Stem: Integrated w/15 ----- Aerobar: + 20 + 5</v>
      </c>
      <c r="E163" s="6">
        <f t="shared" si="24"/>
        <v>1</v>
      </c>
      <c r="F163" s="6" t="str">
        <f t="shared" si="22"/>
        <v/>
      </c>
      <c r="G163" s="6" t="str">
        <f t="shared" si="23"/>
        <v/>
      </c>
      <c r="H163" s="6">
        <f t="shared" si="25"/>
        <v>36</v>
      </c>
      <c r="I163" s="6">
        <f t="shared" si="26"/>
        <v>1</v>
      </c>
      <c r="J163" s="6" t="str">
        <f>'IA - Small'!G29</f>
        <v xml:space="preserve">Stem Bolts: 40mm -----  Aerobar Bolts: Top 25mm; Bottom 30mm </v>
      </c>
      <c r="K163" s="6">
        <v>1</v>
      </c>
      <c r="L163" t="s">
        <v>11</v>
      </c>
    </row>
    <row r="164" spans="3:12" x14ac:dyDescent="0.25">
      <c r="C164" s="6">
        <f>'IA - Small'!D30</f>
        <v>615</v>
      </c>
      <c r="D164" s="6" t="str">
        <f>'IA - Small'!B30</f>
        <v>Frame: 51 ----- Stem: Integrated w/15 ----- Aerobar: + 20 + bridge</v>
      </c>
      <c r="E164" s="6">
        <f t="shared" si="24"/>
        <v>1</v>
      </c>
      <c r="F164" s="6" t="str">
        <f t="shared" si="22"/>
        <v/>
      </c>
      <c r="G164" s="6" t="str">
        <f t="shared" si="23"/>
        <v/>
      </c>
      <c r="H164" s="6">
        <f t="shared" si="25"/>
        <v>36</v>
      </c>
      <c r="I164" s="6">
        <f t="shared" si="26"/>
        <v>1</v>
      </c>
      <c r="J164" s="6" t="str">
        <f>'IA - Small'!G30</f>
        <v xml:space="preserve">Stem Bolts: 40mm -----  Aerobar Bolts: Top 25mm; Bottom 30mm </v>
      </c>
      <c r="K164" s="6">
        <v>1</v>
      </c>
      <c r="L164" t="s">
        <v>11</v>
      </c>
    </row>
    <row r="165" spans="3:12" x14ac:dyDescent="0.25">
      <c r="C165" s="6">
        <f>'IA - Small'!D31</f>
        <v>620</v>
      </c>
      <c r="D165" s="6" t="str">
        <f>'IA - Small'!B31</f>
        <v>Frame: 51 ----- Stem: Integrated w/15 ----- Aerobar: + 30</v>
      </c>
      <c r="E165" s="6">
        <f t="shared" si="24"/>
        <v>1</v>
      </c>
      <c r="F165" s="6">
        <f t="shared" si="22"/>
        <v>1</v>
      </c>
      <c r="G165" s="6" t="str">
        <f t="shared" si="23"/>
        <v/>
      </c>
      <c r="H165" s="6">
        <f t="shared" si="25"/>
        <v>36</v>
      </c>
      <c r="I165" s="6">
        <f t="shared" si="26"/>
        <v>1</v>
      </c>
      <c r="J165" s="6" t="str">
        <f>'IA - Small'!G31</f>
        <v xml:space="preserve">Stem Bolts: 40mm -----  Aerobar Bolts: Top 25mm; Bottom 30mm </v>
      </c>
      <c r="K165" s="6">
        <v>1</v>
      </c>
      <c r="L165" t="s">
        <v>11</v>
      </c>
    </row>
    <row r="166" spans="3:12" x14ac:dyDescent="0.25">
      <c r="C166" s="6">
        <f>'IA - Small'!D32</f>
        <v>620</v>
      </c>
      <c r="D166" s="6" t="str">
        <f>'IA - Small'!B32</f>
        <v>Frame: 51 ----- Stem: Integrated w/15 ----- Aerobar: + 20 + bridge + 5</v>
      </c>
      <c r="E166" s="6">
        <f t="shared" si="24"/>
        <v>1</v>
      </c>
      <c r="F166" s="6" t="str">
        <f t="shared" si="22"/>
        <v/>
      </c>
      <c r="G166" s="6" t="str">
        <f t="shared" si="23"/>
        <v/>
      </c>
      <c r="H166" s="6">
        <f t="shared" si="25"/>
        <v>36</v>
      </c>
      <c r="I166" s="6">
        <f t="shared" si="26"/>
        <v>1</v>
      </c>
      <c r="J166" s="6" t="str">
        <f>'IA - Small'!G32</f>
        <v xml:space="preserve">Stem Bolts: 40mm -----  Aerobar Bolts: Top 30mm; Bottom 30mm </v>
      </c>
      <c r="K166" s="6">
        <v>1</v>
      </c>
      <c r="L166" t="s">
        <v>11</v>
      </c>
    </row>
    <row r="167" spans="3:12" x14ac:dyDescent="0.25">
      <c r="C167" s="6">
        <f>'IA - Small'!D33</f>
        <v>625</v>
      </c>
      <c r="D167" s="6" t="str">
        <f>'IA - Small'!B33</f>
        <v>Frame: 51 ----- Stem: Integrated w/15 ----- Aerobar: + 30 + bridge</v>
      </c>
      <c r="E167" s="6">
        <f t="shared" si="24"/>
        <v>1</v>
      </c>
      <c r="F167" s="6">
        <f t="shared" si="22"/>
        <v>1</v>
      </c>
      <c r="G167" s="6" t="str">
        <f t="shared" si="23"/>
        <v/>
      </c>
      <c r="H167" s="6">
        <f t="shared" si="25"/>
        <v>36</v>
      </c>
      <c r="I167" s="6">
        <f t="shared" si="26"/>
        <v>1</v>
      </c>
      <c r="J167" s="6" t="str">
        <f>'IA - Small'!G33</f>
        <v xml:space="preserve">Stem Bolts: 40mm -----  Aerobar Bolts: Top 30mm; Bottom 30mm </v>
      </c>
      <c r="K167" s="6">
        <v>1</v>
      </c>
      <c r="L167" t="s">
        <v>11</v>
      </c>
    </row>
    <row r="168" spans="3:12" x14ac:dyDescent="0.25">
      <c r="C168" s="6">
        <f>'IA - Small'!D34</f>
        <v>630</v>
      </c>
      <c r="D168" s="6" t="str">
        <f>'IA - Small'!B34</f>
        <v>Frame: 51 ----- Stem: Integrated w/15 ----- Aerobar: + 30 + bridge + 5</v>
      </c>
      <c r="E168" s="6">
        <f t="shared" si="24"/>
        <v>1</v>
      </c>
      <c r="F168" s="6">
        <f t="shared" si="22"/>
        <v>1</v>
      </c>
      <c r="G168" s="6" t="str">
        <f t="shared" si="23"/>
        <v/>
      </c>
      <c r="H168" s="6">
        <f t="shared" si="25"/>
        <v>36</v>
      </c>
      <c r="I168" s="6">
        <f t="shared" si="26"/>
        <v>1</v>
      </c>
      <c r="J168" s="6" t="str">
        <f>'IA - Small'!G34</f>
        <v xml:space="preserve">Stem Bolts: 40mm -----  Aerobar Bolts: Top 35mm; Bottom 30mm </v>
      </c>
      <c r="K168" s="6">
        <v>1</v>
      </c>
      <c r="L168" t="s">
        <v>11</v>
      </c>
    </row>
    <row r="169" spans="3:12" x14ac:dyDescent="0.25">
      <c r="C169" s="6">
        <f>'IA - Small'!D35</f>
        <v>635</v>
      </c>
      <c r="D169" s="6" t="str">
        <f>'IA - Small'!B35</f>
        <v>Frame: 51 ----- Stem: Integrated w/15 ----- Aerobar: + 40 + bridge</v>
      </c>
      <c r="E169" s="6">
        <f t="shared" si="24"/>
        <v>1</v>
      </c>
      <c r="F169" s="6" t="str">
        <f t="shared" si="22"/>
        <v/>
      </c>
      <c r="G169" s="6">
        <f t="shared" si="23"/>
        <v>1</v>
      </c>
      <c r="H169" s="6">
        <f t="shared" si="25"/>
        <v>36</v>
      </c>
      <c r="I169" s="6">
        <f t="shared" si="26"/>
        <v>1</v>
      </c>
      <c r="J169" s="6" t="str">
        <f>'IA - Small'!G35</f>
        <v xml:space="preserve">Stem Bolts: 40mm -----  Aerobar Bolts: Top 35mm; Bottom 30mm </v>
      </c>
      <c r="K169" s="6">
        <v>1</v>
      </c>
      <c r="L169" t="s">
        <v>11</v>
      </c>
    </row>
    <row r="170" spans="3:12" x14ac:dyDescent="0.25">
      <c r="C170" s="6">
        <f>'IA - Small'!D36</f>
        <v>640</v>
      </c>
      <c r="D170" s="6" t="str">
        <f>'IA - Small'!B36</f>
        <v>Frame: 51 ----- Stem: Integrated w/15 ----- Aerobar: + 40 + bridge + 5</v>
      </c>
      <c r="E170" s="6">
        <f t="shared" si="24"/>
        <v>1</v>
      </c>
      <c r="F170" s="6" t="str">
        <f t="shared" si="22"/>
        <v/>
      </c>
      <c r="G170" s="6">
        <f t="shared" si="23"/>
        <v>1</v>
      </c>
      <c r="H170" s="6">
        <f t="shared" si="25"/>
        <v>36</v>
      </c>
      <c r="I170" s="6">
        <f t="shared" si="26"/>
        <v>1</v>
      </c>
      <c r="J170" s="6" t="str">
        <f>'IA - Small'!G36</f>
        <v xml:space="preserve">Stem Bolts: 40mm -----  Aerobar Bolts: Top 35mm; Bottom 30mm </v>
      </c>
      <c r="K170" s="6">
        <v>1</v>
      </c>
      <c r="L170" t="s">
        <v>11</v>
      </c>
    </row>
    <row r="171" spans="3:12" x14ac:dyDescent="0.25">
      <c r="C171" s="6">
        <f>'IA - Small'!D37</f>
        <v>645</v>
      </c>
      <c r="D171" s="6" t="str">
        <f>'IA - Small'!B37</f>
        <v>Frame: 51 ----- Stem: Integrated w/15 ----- Aerobar: + 40 + bridge + 10</v>
      </c>
      <c r="E171" s="6">
        <f t="shared" si="24"/>
        <v>1</v>
      </c>
      <c r="F171" s="6" t="str">
        <f t="shared" si="22"/>
        <v/>
      </c>
      <c r="G171" s="6">
        <f t="shared" si="23"/>
        <v>1</v>
      </c>
      <c r="H171" s="6">
        <f t="shared" si="25"/>
        <v>36</v>
      </c>
      <c r="I171" s="6">
        <f t="shared" si="26"/>
        <v>1</v>
      </c>
      <c r="J171" s="6" t="str">
        <f>'IA - Small'!G37</f>
        <v xml:space="preserve">Stem Bolts: 40mm -----  Aerobar Bolts: Top 40mm; Bottom 30mm </v>
      </c>
      <c r="K171" s="6">
        <v>1</v>
      </c>
      <c r="L171" t="s">
        <v>11</v>
      </c>
    </row>
    <row r="172" spans="3:12" x14ac:dyDescent="0.25">
      <c r="C172" s="6">
        <f>'IA - Small'!D38</f>
        <v>650</v>
      </c>
      <c r="D172" s="6" t="str">
        <f>'IA - Small'!B38</f>
        <v>Frame: 51 ----- Stem: Integrated w/15 ----- Aerobar: + 40 + bridge + 10 + 5</v>
      </c>
      <c r="E172" s="6">
        <f t="shared" si="24"/>
        <v>1</v>
      </c>
      <c r="F172" s="6" t="str">
        <f t="shared" si="22"/>
        <v/>
      </c>
      <c r="G172" s="6">
        <f t="shared" si="23"/>
        <v>1</v>
      </c>
      <c r="H172" s="6">
        <f t="shared" si="25"/>
        <v>36</v>
      </c>
      <c r="I172" s="6">
        <f t="shared" si="26"/>
        <v>1</v>
      </c>
      <c r="J172" s="6" t="str">
        <f>'IA - Small'!G38</f>
        <v xml:space="preserve">Stem Bolts: 40mm -----  Aerobar Bolts: Top 45mm; Bottom 30mm </v>
      </c>
      <c r="K172" s="6">
        <v>1</v>
      </c>
      <c r="L172" t="s">
        <v>11</v>
      </c>
    </row>
    <row r="173" spans="3:12" x14ac:dyDescent="0.25">
      <c r="C173">
        <f>'IA - Small'!D39</f>
        <v>0</v>
      </c>
      <c r="D173" t="str">
        <f>'IA - Small'!B39</f>
        <v xml:space="preserve">Frame: 51 ----- Stem: Integrated w/30 ----- Aerobar: </v>
      </c>
      <c r="E173">
        <f t="shared" si="24"/>
        <v>1</v>
      </c>
      <c r="F173">
        <f t="shared" si="22"/>
        <v>1</v>
      </c>
      <c r="G173" t="str">
        <f t="shared" si="23"/>
        <v/>
      </c>
      <c r="H173">
        <f t="shared" si="25"/>
        <v>36</v>
      </c>
      <c r="I173">
        <f t="shared" si="26"/>
        <v>1</v>
      </c>
      <c r="J173" t="str">
        <f>'IA - Small'!G39</f>
        <v xml:space="preserve">Stem Bolts: 55mm -----  Aerobar Bolts: Top N/A; Bottom N/A </v>
      </c>
      <c r="K173" s="6">
        <v>1</v>
      </c>
      <c r="L173" t="s">
        <v>11</v>
      </c>
    </row>
    <row r="174" spans="3:12" x14ac:dyDescent="0.25">
      <c r="C174">
        <f>'IA - Small'!D40</f>
        <v>610</v>
      </c>
      <c r="D174" t="str">
        <f>'IA - Small'!B40</f>
        <v>Frame: 51 ----- Stem: Integrated w/30 ----- Aerobar: + 5</v>
      </c>
      <c r="E174">
        <f t="shared" si="24"/>
        <v>1</v>
      </c>
      <c r="F174">
        <f t="shared" si="22"/>
        <v>1</v>
      </c>
      <c r="G174" t="str">
        <f t="shared" si="23"/>
        <v/>
      </c>
      <c r="H174">
        <f t="shared" si="25"/>
        <v>36</v>
      </c>
      <c r="I174">
        <f t="shared" si="26"/>
        <v>1</v>
      </c>
      <c r="J174" t="str">
        <f>'IA - Small'!G40</f>
        <v xml:space="preserve">Stem Bolts: 55mm -----  Aerobar Bolts: Top 45mm; Bottom N/A </v>
      </c>
      <c r="K174" s="6">
        <v>1</v>
      </c>
      <c r="L174" t="s">
        <v>11</v>
      </c>
    </row>
    <row r="175" spans="3:12" x14ac:dyDescent="0.25">
      <c r="C175">
        <f>'IA - Small'!D41</f>
        <v>615</v>
      </c>
      <c r="D175" t="str">
        <f>'IA - Small'!B41</f>
        <v>Frame: 51 ----- Stem: Integrated w/30 ----- Aerobar: + 10</v>
      </c>
      <c r="E175">
        <f t="shared" si="24"/>
        <v>1</v>
      </c>
      <c r="F175">
        <f t="shared" si="22"/>
        <v>1</v>
      </c>
      <c r="G175" t="str">
        <f t="shared" si="23"/>
        <v/>
      </c>
      <c r="H175">
        <f t="shared" si="25"/>
        <v>36</v>
      </c>
      <c r="I175">
        <f t="shared" si="26"/>
        <v>1</v>
      </c>
      <c r="J175" t="str">
        <f>'IA - Small'!G41</f>
        <v xml:space="preserve">Stem Bolts: 55mm -----  Aerobar Bolts: Top 50mm; Bottom N/A </v>
      </c>
      <c r="K175" s="6">
        <v>1</v>
      </c>
      <c r="L175" t="s">
        <v>11</v>
      </c>
    </row>
    <row r="176" spans="3:12" x14ac:dyDescent="0.25">
      <c r="C176">
        <f>'IA - Small'!D42</f>
        <v>620</v>
      </c>
      <c r="D176" t="str">
        <f>'IA - Small'!B42</f>
        <v>Frame: 51 ----- Stem: Integrated w/30 ----- Aerobar: + 5 + 10</v>
      </c>
      <c r="E176">
        <f t="shared" si="24"/>
        <v>1</v>
      </c>
      <c r="F176">
        <f t="shared" si="22"/>
        <v>1</v>
      </c>
      <c r="G176" t="str">
        <f t="shared" si="23"/>
        <v/>
      </c>
      <c r="H176">
        <f t="shared" si="25"/>
        <v>36</v>
      </c>
      <c r="I176">
        <f t="shared" si="26"/>
        <v>1</v>
      </c>
      <c r="J176" t="str">
        <f>'IA - Small'!G42</f>
        <v xml:space="preserve">Stem Bolts: 55mm -----  Aerobar Bolts: Top 55mm; Bottom N/A </v>
      </c>
      <c r="K176" s="6">
        <v>1</v>
      </c>
      <c r="L176" t="s">
        <v>11</v>
      </c>
    </row>
    <row r="177" spans="3:12" x14ac:dyDescent="0.25">
      <c r="C177">
        <f>'IA - Small'!D43</f>
        <v>625</v>
      </c>
      <c r="D177" t="str">
        <f>'IA - Small'!B43</f>
        <v>Frame: 51 ----- Stem: Integrated w/30 ----- Aerobar: + 20</v>
      </c>
      <c r="E177">
        <f t="shared" si="24"/>
        <v>1</v>
      </c>
      <c r="F177">
        <f t="shared" si="22"/>
        <v>1</v>
      </c>
      <c r="G177" t="str">
        <f t="shared" si="23"/>
        <v/>
      </c>
      <c r="H177">
        <f t="shared" si="25"/>
        <v>36</v>
      </c>
      <c r="I177">
        <f t="shared" si="26"/>
        <v>1</v>
      </c>
      <c r="J177" t="str">
        <f>'IA - Small'!G43</f>
        <v xml:space="preserve">Stem Bolts: 55mm -----  Aerobar Bolts: Top 20mm; Bottom 30mm </v>
      </c>
      <c r="K177" s="6">
        <v>1</v>
      </c>
      <c r="L177" t="s">
        <v>11</v>
      </c>
    </row>
    <row r="178" spans="3:12" x14ac:dyDescent="0.25">
      <c r="C178">
        <f>'IA - Small'!D44</f>
        <v>630</v>
      </c>
      <c r="D178" t="str">
        <f>'IA - Small'!B44</f>
        <v>Frame: 51 ----- Stem: Integrated w/30 ----- Aerobar: + 20 + 5</v>
      </c>
      <c r="E178">
        <f t="shared" si="24"/>
        <v>1</v>
      </c>
      <c r="F178">
        <f t="shared" si="22"/>
        <v>1</v>
      </c>
      <c r="G178" t="str">
        <f t="shared" si="23"/>
        <v/>
      </c>
      <c r="H178">
        <f t="shared" si="25"/>
        <v>36</v>
      </c>
      <c r="I178">
        <f t="shared" si="26"/>
        <v>1</v>
      </c>
      <c r="J178" t="str">
        <f>'IA - Small'!G44</f>
        <v xml:space="preserve">Stem Bolts: 55mm -----  Aerobar Bolts: Top 25mm; Bottom 30mm </v>
      </c>
      <c r="K178" s="6">
        <v>1</v>
      </c>
      <c r="L178" t="s">
        <v>11</v>
      </c>
    </row>
    <row r="179" spans="3:12" x14ac:dyDescent="0.25">
      <c r="C179">
        <f>'IA - Small'!D45</f>
        <v>630</v>
      </c>
      <c r="D179" t="str">
        <f>'IA - Small'!B45</f>
        <v>Frame: 51 ----- Stem: Integrated w/30 ----- Aerobar: + 20 + bridge</v>
      </c>
      <c r="E179">
        <f t="shared" si="24"/>
        <v>1</v>
      </c>
      <c r="F179">
        <f t="shared" si="22"/>
        <v>1</v>
      </c>
      <c r="G179" t="str">
        <f t="shared" si="23"/>
        <v/>
      </c>
      <c r="H179">
        <f t="shared" si="25"/>
        <v>36</v>
      </c>
      <c r="I179">
        <f t="shared" si="26"/>
        <v>1</v>
      </c>
      <c r="J179" t="str">
        <f>'IA - Small'!G45</f>
        <v xml:space="preserve">Stem Bolts: 55mm -----  Aerobar Bolts: Top 25mm; Bottom 30mm </v>
      </c>
      <c r="K179" s="6">
        <v>1</v>
      </c>
      <c r="L179" t="s">
        <v>11</v>
      </c>
    </row>
    <row r="180" spans="3:12" x14ac:dyDescent="0.25">
      <c r="C180">
        <f>'IA - Small'!D46</f>
        <v>635</v>
      </c>
      <c r="D180" t="str">
        <f>'IA - Small'!B46</f>
        <v>Frame: 51 ----- Stem: Integrated w/30 ----- Aerobar: + 30</v>
      </c>
      <c r="E180">
        <f t="shared" si="24"/>
        <v>1</v>
      </c>
      <c r="F180">
        <f t="shared" si="22"/>
        <v>1</v>
      </c>
      <c r="G180" t="str">
        <f t="shared" si="23"/>
        <v/>
      </c>
      <c r="H180">
        <f t="shared" si="25"/>
        <v>36</v>
      </c>
      <c r="I180">
        <f t="shared" si="26"/>
        <v>1</v>
      </c>
      <c r="J180" t="str">
        <f>'IA - Small'!G46</f>
        <v xml:space="preserve">Stem Bolts: 55mm -----  Aerobar Bolts: Top 25mm; Bottom 30mm </v>
      </c>
      <c r="K180" s="6">
        <v>1</v>
      </c>
      <c r="L180" t="s">
        <v>11</v>
      </c>
    </row>
    <row r="181" spans="3:12" x14ac:dyDescent="0.25">
      <c r="C181">
        <f>'IA - Small'!D47</f>
        <v>635</v>
      </c>
      <c r="D181" t="str">
        <f>'IA - Small'!B47</f>
        <v>Frame: 51 ----- Stem: Integrated w/30 ----- Aerobar: + 20 + bridge + 5</v>
      </c>
      <c r="E181">
        <f t="shared" si="24"/>
        <v>1</v>
      </c>
      <c r="F181">
        <f t="shared" si="22"/>
        <v>1</v>
      </c>
      <c r="G181" t="str">
        <f t="shared" si="23"/>
        <v/>
      </c>
      <c r="H181">
        <f t="shared" si="25"/>
        <v>36</v>
      </c>
      <c r="I181">
        <f t="shared" si="26"/>
        <v>1</v>
      </c>
      <c r="J181" t="str">
        <f>'IA - Small'!G47</f>
        <v xml:space="preserve">Stem Bolts: 55mm -----  Aerobar Bolts: Top 30mm; Bottom 30mm </v>
      </c>
      <c r="K181" s="6">
        <v>1</v>
      </c>
      <c r="L181" t="s">
        <v>11</v>
      </c>
    </row>
    <row r="182" spans="3:12" x14ac:dyDescent="0.25">
      <c r="C182">
        <f>'IA - Small'!D48</f>
        <v>640</v>
      </c>
      <c r="D182" t="str">
        <f>'IA - Small'!B48</f>
        <v>Frame: 51 ----- Stem: Integrated w/30 ----- Aerobar: + 30 + bridge</v>
      </c>
      <c r="E182">
        <f t="shared" si="24"/>
        <v>1</v>
      </c>
      <c r="F182">
        <f t="shared" si="22"/>
        <v>1</v>
      </c>
      <c r="G182" t="str">
        <f t="shared" si="23"/>
        <v/>
      </c>
      <c r="H182">
        <f t="shared" si="25"/>
        <v>36</v>
      </c>
      <c r="I182">
        <f t="shared" si="26"/>
        <v>1</v>
      </c>
      <c r="J182" t="str">
        <f>'IA - Small'!G48</f>
        <v xml:space="preserve">Stem Bolts: 55mm -----  Aerobar Bolts: Top 30mm; Bottom 30mm </v>
      </c>
      <c r="K182" s="6">
        <v>1</v>
      </c>
      <c r="L182" t="s">
        <v>11</v>
      </c>
    </row>
    <row r="183" spans="3:12" x14ac:dyDescent="0.25">
      <c r="C183">
        <f>'IA - Small'!D49</f>
        <v>645</v>
      </c>
      <c r="D183" t="str">
        <f>'IA - Small'!B49</f>
        <v>Frame: 51 ----- Stem: Integrated w/30 ----- Aerobar: + 30 + bridge + 5</v>
      </c>
      <c r="E183">
        <f t="shared" si="24"/>
        <v>1</v>
      </c>
      <c r="F183">
        <f t="shared" si="22"/>
        <v>1</v>
      </c>
      <c r="G183" t="str">
        <f t="shared" si="23"/>
        <v/>
      </c>
      <c r="H183">
        <f t="shared" si="25"/>
        <v>36</v>
      </c>
      <c r="I183">
        <f t="shared" si="26"/>
        <v>1</v>
      </c>
      <c r="J183" t="str">
        <f>'IA - Small'!G49</f>
        <v xml:space="preserve">Stem Bolts: 55mm -----  Aerobar Bolts: Top 35mm; Bottom 30mm </v>
      </c>
      <c r="K183" s="6">
        <v>1</v>
      </c>
      <c r="L183" t="s">
        <v>11</v>
      </c>
    </row>
    <row r="184" spans="3:12" x14ac:dyDescent="0.25">
      <c r="C184">
        <f>'IA - Small'!D50</f>
        <v>650</v>
      </c>
      <c r="D184" t="str">
        <f>'IA - Small'!B50</f>
        <v>Frame: 51 ----- Stem: Integrated w/30 ----- Aerobar: + 40 + bridge</v>
      </c>
      <c r="E184">
        <f t="shared" si="24"/>
        <v>1</v>
      </c>
      <c r="F184">
        <f t="shared" si="22"/>
        <v>1</v>
      </c>
      <c r="G184">
        <f t="shared" si="23"/>
        <v>1</v>
      </c>
      <c r="H184">
        <f t="shared" si="25"/>
        <v>36</v>
      </c>
      <c r="I184">
        <f t="shared" si="26"/>
        <v>1</v>
      </c>
      <c r="J184" t="str">
        <f>'IA - Small'!G50</f>
        <v xml:space="preserve">Stem Bolts: 55mm -----  Aerobar Bolts: Top 35mm; Bottom 30mm </v>
      </c>
      <c r="K184" s="6">
        <v>1</v>
      </c>
      <c r="L184" t="s">
        <v>11</v>
      </c>
    </row>
    <row r="185" spans="3:12" x14ac:dyDescent="0.25">
      <c r="C185">
        <f>'IA - Small'!D51</f>
        <v>655</v>
      </c>
      <c r="D185" t="str">
        <f>'IA - Small'!B51</f>
        <v>Frame: 51 ----- Stem: Integrated w/30 ----- Aerobar: + 40 + bridge + 5</v>
      </c>
      <c r="E185">
        <f t="shared" si="24"/>
        <v>1</v>
      </c>
      <c r="F185">
        <f t="shared" si="22"/>
        <v>1</v>
      </c>
      <c r="G185">
        <f t="shared" si="23"/>
        <v>1</v>
      </c>
      <c r="H185">
        <f t="shared" si="25"/>
        <v>36</v>
      </c>
      <c r="I185">
        <f t="shared" si="26"/>
        <v>1</v>
      </c>
      <c r="J185" t="str">
        <f>'IA - Small'!G51</f>
        <v xml:space="preserve">Stem Bolts: 55mm -----  Aerobar Bolts: Top 35mm; Bottom 30mm </v>
      </c>
      <c r="K185" s="6">
        <v>1</v>
      </c>
      <c r="L185" t="s">
        <v>11</v>
      </c>
    </row>
    <row r="186" spans="3:12" x14ac:dyDescent="0.25">
      <c r="C186">
        <f>'IA - Small'!D52</f>
        <v>660</v>
      </c>
      <c r="D186" t="str">
        <f>'IA - Small'!B52</f>
        <v>Frame: 51 ----- Stem: Integrated w/30 ----- Aerobar: + 40 + bridge + 10</v>
      </c>
      <c r="E186">
        <f t="shared" si="24"/>
        <v>1</v>
      </c>
      <c r="F186">
        <f t="shared" si="22"/>
        <v>1</v>
      </c>
      <c r="G186">
        <f t="shared" si="23"/>
        <v>1</v>
      </c>
      <c r="H186">
        <f t="shared" si="25"/>
        <v>36</v>
      </c>
      <c r="I186">
        <f t="shared" si="26"/>
        <v>1</v>
      </c>
      <c r="J186" t="str">
        <f>'IA - Small'!G52</f>
        <v xml:space="preserve">Stem Bolts: 55mm -----  Aerobar Bolts: Top 40mm; Bottom 30mm </v>
      </c>
      <c r="K186" s="6">
        <v>1</v>
      </c>
      <c r="L186" t="s">
        <v>11</v>
      </c>
    </row>
    <row r="187" spans="3:12" x14ac:dyDescent="0.25">
      <c r="C187">
        <f>'IA - Small'!D53</f>
        <v>665</v>
      </c>
      <c r="D187" t="str">
        <f>'IA - Small'!B53</f>
        <v>Frame: 51 ----- Stem: Integrated w/30 ----- Aerobar: + 40 + bridge + 10 + 5</v>
      </c>
      <c r="E187">
        <f t="shared" si="24"/>
        <v>1</v>
      </c>
      <c r="F187">
        <f t="shared" si="22"/>
        <v>1</v>
      </c>
      <c r="G187">
        <f t="shared" si="23"/>
        <v>1</v>
      </c>
      <c r="H187">
        <f t="shared" si="25"/>
        <v>36</v>
      </c>
      <c r="I187">
        <f t="shared" si="26"/>
        <v>1</v>
      </c>
      <c r="J187" t="str">
        <f>'IA - Small'!G53</f>
        <v xml:space="preserve">Stem Bolts: 55mm -----  Aerobar Bolts: Top 45mm; Bottom 30mm </v>
      </c>
      <c r="K187" s="6">
        <v>1</v>
      </c>
      <c r="L187" t="s">
        <v>11</v>
      </c>
    </row>
    <row r="188" spans="3:12" x14ac:dyDescent="0.25">
      <c r="C188" s="6">
        <f>'IA - XS'!D9</f>
        <v>0</v>
      </c>
      <c r="D188" s="6" t="str">
        <f>'IA - XS'!B9</f>
        <v>Frame: 48 ----- Stem: Integrated ----- Aerobar:</v>
      </c>
      <c r="E188" s="6">
        <f t="shared" ref="E188:E232" si="27">$W$5*$X$5</f>
        <v>1</v>
      </c>
      <c r="F188" s="6" t="str">
        <f t="shared" si="22"/>
        <v/>
      </c>
      <c r="G188" s="6" t="str">
        <f t="shared" si="23"/>
        <v/>
      </c>
      <c r="H188" s="6">
        <f t="shared" ref="H188:H232" si="28">$E$4-$U$20</f>
        <v>44</v>
      </c>
      <c r="I188" s="6">
        <f t="shared" ref="I188:I232" si="29">$AC$5</f>
        <v>1</v>
      </c>
      <c r="J188" s="6" t="str">
        <f>'IA - XS'!G9</f>
        <v xml:space="preserve">Stem Bolts: 25mm -----  Aerobar Bolts: Top N/A; Bottom N/A </v>
      </c>
      <c r="K188" s="6">
        <v>1</v>
      </c>
      <c r="L188" t="s">
        <v>11</v>
      </c>
    </row>
    <row r="189" spans="3:12" x14ac:dyDescent="0.25">
      <c r="C189" s="6">
        <f>'IA - XS'!D10</f>
        <v>550</v>
      </c>
      <c r="D189" s="6" t="str">
        <f>'IA - XS'!B10</f>
        <v>Frame: 48 ----- Stem: Integrated ----- Aerobar:+ 5</v>
      </c>
      <c r="E189" s="6">
        <f t="shared" si="27"/>
        <v>1</v>
      </c>
      <c r="F189" s="6" t="str">
        <f t="shared" si="22"/>
        <v/>
      </c>
      <c r="G189" s="6" t="str">
        <f t="shared" si="23"/>
        <v/>
      </c>
      <c r="H189" s="6">
        <f t="shared" si="28"/>
        <v>44</v>
      </c>
      <c r="I189" s="6">
        <f t="shared" si="29"/>
        <v>1</v>
      </c>
      <c r="J189" s="6" t="str">
        <f>'IA - XS'!G10</f>
        <v xml:space="preserve">Stem Bolts: 25mm -----  Aerobar Bolts: Top 45mm; Bottom N/A </v>
      </c>
      <c r="K189" s="6">
        <v>1</v>
      </c>
      <c r="L189" t="s">
        <v>11</v>
      </c>
    </row>
    <row r="190" spans="3:12" x14ac:dyDescent="0.25">
      <c r="C190" s="6">
        <f>'IA - XS'!D11</f>
        <v>555</v>
      </c>
      <c r="D190" s="6" t="str">
        <f>'IA - XS'!B11</f>
        <v>Frame: 48 ----- Stem: Integrated ----- Aerobar:+ 10</v>
      </c>
      <c r="E190" s="6">
        <f t="shared" si="27"/>
        <v>1</v>
      </c>
      <c r="F190" s="6" t="str">
        <f t="shared" si="22"/>
        <v/>
      </c>
      <c r="G190" s="6" t="str">
        <f t="shared" si="23"/>
        <v/>
      </c>
      <c r="H190" s="6">
        <f t="shared" si="28"/>
        <v>44</v>
      </c>
      <c r="I190" s="6">
        <f t="shared" si="29"/>
        <v>1</v>
      </c>
      <c r="J190" s="6" t="str">
        <f>'IA - XS'!G11</f>
        <v xml:space="preserve">Stem Bolts: 25mm -----  Aerobar Bolts: Top 50mm; Bottom N/A </v>
      </c>
      <c r="K190" s="6">
        <v>1</v>
      </c>
      <c r="L190" t="s">
        <v>11</v>
      </c>
    </row>
    <row r="191" spans="3:12" x14ac:dyDescent="0.25">
      <c r="C191" s="6">
        <f>'IA - XS'!D12</f>
        <v>560</v>
      </c>
      <c r="D191" s="6" t="str">
        <f>'IA - XS'!B12</f>
        <v>Frame: 48 ----- Stem: Integrated ----- Aerobar:+ 5 + 10</v>
      </c>
      <c r="E191" s="6">
        <f t="shared" si="27"/>
        <v>1</v>
      </c>
      <c r="F191" s="6" t="str">
        <f t="shared" si="22"/>
        <v/>
      </c>
      <c r="G191" s="6" t="str">
        <f t="shared" si="23"/>
        <v/>
      </c>
      <c r="H191" s="6">
        <f t="shared" si="28"/>
        <v>44</v>
      </c>
      <c r="I191" s="6">
        <f t="shared" si="29"/>
        <v>1</v>
      </c>
      <c r="J191" s="6" t="str">
        <f>'IA - XS'!G12</f>
        <v xml:space="preserve">Stem Bolts: 25mm -----  Aerobar Bolts: Top 55mm; Bottom N/A </v>
      </c>
      <c r="K191" s="6">
        <v>1</v>
      </c>
      <c r="L191" t="s">
        <v>11</v>
      </c>
    </row>
    <row r="192" spans="3:12" x14ac:dyDescent="0.25">
      <c r="C192" s="6">
        <f>'IA - XS'!D13</f>
        <v>565</v>
      </c>
      <c r="D192" s="6" t="str">
        <f>'IA - XS'!B13</f>
        <v>Frame: 48 ----- Stem: Integrated ----- Aerobar:+ 20</v>
      </c>
      <c r="E192" s="6">
        <f t="shared" si="27"/>
        <v>1</v>
      </c>
      <c r="F192" s="6" t="str">
        <f t="shared" si="22"/>
        <v/>
      </c>
      <c r="G192" s="6" t="str">
        <f t="shared" si="23"/>
        <v/>
      </c>
      <c r="H192" s="6">
        <f t="shared" si="28"/>
        <v>44</v>
      </c>
      <c r="I192" s="6">
        <f t="shared" si="29"/>
        <v>1</v>
      </c>
      <c r="J192" s="6" t="str">
        <f>'IA - XS'!G13</f>
        <v xml:space="preserve">Stem Bolts: 25mm -----  Aerobar Bolts: Top 20mm; Bottom 30mm </v>
      </c>
      <c r="K192" s="6">
        <v>1</v>
      </c>
      <c r="L192" t="s">
        <v>11</v>
      </c>
    </row>
    <row r="193" spans="3:12" x14ac:dyDescent="0.25">
      <c r="C193" s="6">
        <f>'IA - XS'!D14</f>
        <v>570</v>
      </c>
      <c r="D193" s="6" t="str">
        <f>'IA - XS'!B14</f>
        <v>Frame: 48 ----- Stem: Integrated ----- Aerobar:+ 20 + 5</v>
      </c>
      <c r="E193" s="6">
        <f t="shared" si="27"/>
        <v>1</v>
      </c>
      <c r="F193" s="6" t="str">
        <f t="shared" si="22"/>
        <v/>
      </c>
      <c r="G193" s="6" t="str">
        <f t="shared" si="23"/>
        <v/>
      </c>
      <c r="H193" s="6">
        <f t="shared" si="28"/>
        <v>44</v>
      </c>
      <c r="I193" s="6">
        <f t="shared" si="29"/>
        <v>1</v>
      </c>
      <c r="J193" s="6" t="str">
        <f>'IA - XS'!G14</f>
        <v xml:space="preserve">Stem Bolts: 25mm -----  Aerobar Bolts: Top 25mm; Bottom 30mm </v>
      </c>
      <c r="K193" s="6">
        <v>1</v>
      </c>
      <c r="L193" t="s">
        <v>11</v>
      </c>
    </row>
    <row r="194" spans="3:12" x14ac:dyDescent="0.25">
      <c r="C194" s="6">
        <f>'IA - XS'!D15</f>
        <v>570</v>
      </c>
      <c r="D194" s="6" t="str">
        <f>'IA - XS'!B15</f>
        <v>Frame: 48 ----- Stem: Integrated ----- Aerobar:+ 20 + bridge</v>
      </c>
      <c r="E194" s="6">
        <f t="shared" si="27"/>
        <v>1</v>
      </c>
      <c r="F194" s="6" t="str">
        <f t="shared" si="22"/>
        <v/>
      </c>
      <c r="G194" s="6" t="str">
        <f t="shared" si="23"/>
        <v/>
      </c>
      <c r="H194" s="6">
        <f t="shared" si="28"/>
        <v>44</v>
      </c>
      <c r="I194" s="6">
        <f t="shared" si="29"/>
        <v>1</v>
      </c>
      <c r="J194" s="6" t="str">
        <f>'IA - XS'!G15</f>
        <v xml:space="preserve">Stem Bolts: 25mm -----  Aerobar Bolts: Top 25mm; Bottom 30mm </v>
      </c>
      <c r="K194" s="6">
        <v>1</v>
      </c>
      <c r="L194" t="s">
        <v>11</v>
      </c>
    </row>
    <row r="195" spans="3:12" x14ac:dyDescent="0.25">
      <c r="C195" s="6">
        <f>'IA - XS'!D16</f>
        <v>575</v>
      </c>
      <c r="D195" s="6" t="str">
        <f>'IA - XS'!B16</f>
        <v>Frame: 48 ----- Stem: Integrated ----- Aerobar:+ 30</v>
      </c>
      <c r="E195" s="6">
        <f t="shared" si="27"/>
        <v>1</v>
      </c>
      <c r="F195" s="6">
        <f t="shared" si="22"/>
        <v>1</v>
      </c>
      <c r="G195" s="6" t="str">
        <f t="shared" si="23"/>
        <v/>
      </c>
      <c r="H195" s="6">
        <f t="shared" si="28"/>
        <v>44</v>
      </c>
      <c r="I195" s="6">
        <f t="shared" si="29"/>
        <v>1</v>
      </c>
      <c r="J195" s="6" t="str">
        <f>'IA - XS'!G16</f>
        <v xml:space="preserve">Stem Bolts: 25mm -----  Aerobar Bolts: Top 25mm; Bottom 30mm </v>
      </c>
      <c r="K195" s="6">
        <v>1</v>
      </c>
      <c r="L195" t="s">
        <v>11</v>
      </c>
    </row>
    <row r="196" spans="3:12" x14ac:dyDescent="0.25">
      <c r="C196" s="6">
        <f>'IA - XS'!D17</f>
        <v>575</v>
      </c>
      <c r="D196" s="6" t="str">
        <f>'IA - XS'!B17</f>
        <v>Frame: 48 ----- Stem: Integrated ----- Aerobar:+ 20 + bridge + 5</v>
      </c>
      <c r="E196" s="6">
        <f t="shared" si="27"/>
        <v>1</v>
      </c>
      <c r="F196" s="6" t="str">
        <f t="shared" si="22"/>
        <v/>
      </c>
      <c r="G196" s="6" t="str">
        <f t="shared" si="23"/>
        <v/>
      </c>
      <c r="H196" s="6">
        <f t="shared" si="28"/>
        <v>44</v>
      </c>
      <c r="I196" s="6">
        <f t="shared" si="29"/>
        <v>1</v>
      </c>
      <c r="J196" s="6" t="str">
        <f>'IA - XS'!G17</f>
        <v xml:space="preserve">Stem Bolts: 25mm -----  Aerobar Bolts: Top 30mm; Bottom 30mm </v>
      </c>
      <c r="K196" s="6">
        <v>1</v>
      </c>
      <c r="L196" t="s">
        <v>11</v>
      </c>
    </row>
    <row r="197" spans="3:12" x14ac:dyDescent="0.25">
      <c r="C197" s="6">
        <f>'IA - XS'!D18</f>
        <v>580</v>
      </c>
      <c r="D197" s="6" t="str">
        <f>'IA - XS'!B18</f>
        <v>Frame: 48 ----- Stem: Integrated ----- Aerobar:+ 30 + bridge</v>
      </c>
      <c r="E197" s="6">
        <f t="shared" si="27"/>
        <v>1</v>
      </c>
      <c r="F197" s="6">
        <f t="shared" si="22"/>
        <v>1</v>
      </c>
      <c r="G197" s="6" t="str">
        <f t="shared" si="23"/>
        <v/>
      </c>
      <c r="H197" s="6">
        <f t="shared" si="28"/>
        <v>44</v>
      </c>
      <c r="I197" s="6">
        <f t="shared" si="29"/>
        <v>1</v>
      </c>
      <c r="J197" s="6" t="str">
        <f>'IA - XS'!G18</f>
        <v xml:space="preserve">Stem Bolts: 25mm -----  Aerobar Bolts: Top 30mm; Bottom 30mm </v>
      </c>
      <c r="K197" s="6">
        <v>1</v>
      </c>
      <c r="L197" t="s">
        <v>11</v>
      </c>
    </row>
    <row r="198" spans="3:12" x14ac:dyDescent="0.25">
      <c r="C198" s="6">
        <f>'IA - XS'!D19</f>
        <v>585</v>
      </c>
      <c r="D198" s="6" t="str">
        <f>'IA - XS'!B19</f>
        <v>Frame: 48 ----- Stem: Integrated ----- Aerobar:+ 30 + bridge + 5</v>
      </c>
      <c r="E198" s="6">
        <f t="shared" si="27"/>
        <v>1</v>
      </c>
      <c r="F198" s="6">
        <f t="shared" si="22"/>
        <v>1</v>
      </c>
      <c r="G198" s="6" t="str">
        <f t="shared" si="23"/>
        <v/>
      </c>
      <c r="H198" s="6">
        <f t="shared" si="28"/>
        <v>44</v>
      </c>
      <c r="I198" s="6">
        <f t="shared" si="29"/>
        <v>1</v>
      </c>
      <c r="J198" s="6" t="str">
        <f>'IA - XS'!G19</f>
        <v xml:space="preserve">Stem Bolts: 25mm -----  Aerobar Bolts: Top 35mm; Bottom 30mm </v>
      </c>
      <c r="K198" s="6">
        <v>1</v>
      </c>
      <c r="L198" t="s">
        <v>11</v>
      </c>
    </row>
    <row r="199" spans="3:12" x14ac:dyDescent="0.25">
      <c r="C199" s="6">
        <f>'IA - XS'!D20</f>
        <v>590</v>
      </c>
      <c r="D199" s="6" t="str">
        <f>'IA - XS'!B20</f>
        <v>Frame: 48 ----- Stem: Integrated ----- Aerobar:+ 40 + bridge</v>
      </c>
      <c r="E199" s="6">
        <f t="shared" si="27"/>
        <v>1</v>
      </c>
      <c r="F199" s="6" t="str">
        <f t="shared" si="22"/>
        <v/>
      </c>
      <c r="G199" s="6">
        <f t="shared" si="23"/>
        <v>1</v>
      </c>
      <c r="H199" s="6">
        <f t="shared" si="28"/>
        <v>44</v>
      </c>
      <c r="I199" s="6">
        <f t="shared" si="29"/>
        <v>1</v>
      </c>
      <c r="J199" s="6" t="str">
        <f>'IA - XS'!G20</f>
        <v xml:space="preserve">Stem Bolts: 25mm -----  Aerobar Bolts: Top 35mm; Bottom 30mm </v>
      </c>
      <c r="K199" s="6">
        <v>1</v>
      </c>
      <c r="L199" t="s">
        <v>11</v>
      </c>
    </row>
    <row r="200" spans="3:12" x14ac:dyDescent="0.25">
      <c r="C200" s="6">
        <f>'IA - XS'!D21</f>
        <v>595</v>
      </c>
      <c r="D200" s="6" t="str">
        <f>'IA - XS'!B21</f>
        <v>Frame: 48 ----- Stem: Integrated ----- Aerobar:+ 40 + bridge + 5</v>
      </c>
      <c r="E200" s="6">
        <f t="shared" si="27"/>
        <v>1</v>
      </c>
      <c r="F200" s="6" t="str">
        <f t="shared" si="22"/>
        <v/>
      </c>
      <c r="G200" s="6">
        <f t="shared" si="23"/>
        <v>1</v>
      </c>
      <c r="H200" s="6">
        <f t="shared" si="28"/>
        <v>44</v>
      </c>
      <c r="I200" s="6">
        <f t="shared" si="29"/>
        <v>1</v>
      </c>
      <c r="J200" s="6" t="str">
        <f>'IA - XS'!G21</f>
        <v xml:space="preserve">Stem Bolts: 25mm -----  Aerobar Bolts: Top 35mm; Bottom 30mm </v>
      </c>
      <c r="K200" s="6">
        <v>1</v>
      </c>
      <c r="L200" t="s">
        <v>11</v>
      </c>
    </row>
    <row r="201" spans="3:12" x14ac:dyDescent="0.25">
      <c r="C201" s="6">
        <f>'IA - XS'!D22</f>
        <v>600</v>
      </c>
      <c r="D201" s="6" t="str">
        <f>'IA - XS'!B22</f>
        <v>Frame: 48 ----- Stem: Integrated ----- Aerobar:+ 40 + bridge + 10</v>
      </c>
      <c r="E201" s="6">
        <f t="shared" si="27"/>
        <v>1</v>
      </c>
      <c r="F201" s="6" t="str">
        <f t="shared" ref="F201:F264" si="30">IF(ISNUMBER(FIND("30",D201)),1,"")</f>
        <v/>
      </c>
      <c r="G201" s="6">
        <f t="shared" si="23"/>
        <v>1</v>
      </c>
      <c r="H201" s="6">
        <f t="shared" si="28"/>
        <v>44</v>
      </c>
      <c r="I201" s="6">
        <f t="shared" si="29"/>
        <v>1</v>
      </c>
      <c r="J201" s="6" t="str">
        <f>'IA - XS'!G22</f>
        <v xml:space="preserve">Stem Bolts: 25mm -----  Aerobar Bolts: Top 40mm; Bottom 30mm </v>
      </c>
      <c r="K201" s="6">
        <v>1</v>
      </c>
      <c r="L201" t="s">
        <v>11</v>
      </c>
    </row>
    <row r="202" spans="3:12" x14ac:dyDescent="0.25">
      <c r="C202" s="6">
        <f>'IA - XS'!D23</f>
        <v>605</v>
      </c>
      <c r="D202" s="6" t="str">
        <f>'IA - XS'!B23</f>
        <v>Frame: 48 ----- Stem: Integrated ----- Aerobar:+ 40 + bridge + 10 + 5</v>
      </c>
      <c r="E202" s="6">
        <f t="shared" si="27"/>
        <v>1</v>
      </c>
      <c r="F202" s="6" t="str">
        <f t="shared" si="30"/>
        <v/>
      </c>
      <c r="G202" s="6">
        <f t="shared" ref="G202:G231" si="31">IF(ISNUMBER(FIND("40",D202)),1,"")</f>
        <v>1</v>
      </c>
      <c r="H202" s="6">
        <f t="shared" si="28"/>
        <v>44</v>
      </c>
      <c r="I202" s="6">
        <f t="shared" si="29"/>
        <v>1</v>
      </c>
      <c r="J202" s="6" t="str">
        <f>'IA - XS'!G23</f>
        <v xml:space="preserve">Stem Bolts: 25mm -----  Aerobar Bolts: Top 45mm; Bottom 30mm </v>
      </c>
      <c r="K202" s="6">
        <v>1</v>
      </c>
      <c r="L202" t="s">
        <v>11</v>
      </c>
    </row>
    <row r="203" spans="3:12" x14ac:dyDescent="0.25">
      <c r="C203">
        <f>'IA - XS'!D24</f>
        <v>0</v>
      </c>
      <c r="D203" t="str">
        <f>'IA - XS'!B24</f>
        <v xml:space="preserve">Frame: 48 ----- Stem: Integrated w/15 ----- Aerobar: </v>
      </c>
      <c r="E203">
        <f t="shared" si="27"/>
        <v>1</v>
      </c>
      <c r="F203" t="str">
        <f t="shared" si="30"/>
        <v/>
      </c>
      <c r="G203" t="str">
        <f t="shared" si="31"/>
        <v/>
      </c>
      <c r="H203">
        <f t="shared" si="28"/>
        <v>44</v>
      </c>
      <c r="I203">
        <f t="shared" si="29"/>
        <v>1</v>
      </c>
      <c r="J203" t="str">
        <f>'IA - XS'!G24</f>
        <v xml:space="preserve">Stem Bolts: 40mm -----  Aerobar Bolts: Top N/A; Bottom N/A </v>
      </c>
      <c r="K203" s="6">
        <v>1</v>
      </c>
      <c r="L203" t="s">
        <v>11</v>
      </c>
    </row>
    <row r="204" spans="3:12" x14ac:dyDescent="0.25">
      <c r="C204">
        <f>'IA - XS'!D25</f>
        <v>565</v>
      </c>
      <c r="D204" t="str">
        <f>'IA - XS'!B25</f>
        <v>Frame: 48 ----- Stem: Integrated w/15 ----- Aerobar: + 5</v>
      </c>
      <c r="E204">
        <f t="shared" si="27"/>
        <v>1</v>
      </c>
      <c r="F204" t="str">
        <f t="shared" si="30"/>
        <v/>
      </c>
      <c r="G204" t="str">
        <f t="shared" si="31"/>
        <v/>
      </c>
      <c r="H204">
        <f t="shared" si="28"/>
        <v>44</v>
      </c>
      <c r="I204">
        <f t="shared" si="29"/>
        <v>1</v>
      </c>
      <c r="J204" t="str">
        <f>'IA - XS'!G25</f>
        <v xml:space="preserve">Stem Bolts: 40mm -----  Aerobar Bolts: Top 45mm; Bottom N/A </v>
      </c>
      <c r="K204" s="6">
        <v>1</v>
      </c>
      <c r="L204" t="s">
        <v>11</v>
      </c>
    </row>
    <row r="205" spans="3:12" x14ac:dyDescent="0.25">
      <c r="C205">
        <f>'IA - XS'!D26</f>
        <v>570</v>
      </c>
      <c r="D205" t="str">
        <f>'IA - XS'!B26</f>
        <v>Frame: 48 ----- Stem: Integrated w/15 ----- Aerobar: + 10</v>
      </c>
      <c r="E205">
        <f t="shared" si="27"/>
        <v>1</v>
      </c>
      <c r="F205" t="str">
        <f t="shared" si="30"/>
        <v/>
      </c>
      <c r="G205" t="str">
        <f t="shared" si="31"/>
        <v/>
      </c>
      <c r="H205">
        <f t="shared" si="28"/>
        <v>44</v>
      </c>
      <c r="I205">
        <f t="shared" si="29"/>
        <v>1</v>
      </c>
      <c r="J205" t="str">
        <f>'IA - XS'!G26</f>
        <v xml:space="preserve">Stem Bolts: 40mm -----  Aerobar Bolts: Top 50mm; Bottom N/A </v>
      </c>
      <c r="K205" s="6">
        <v>1</v>
      </c>
      <c r="L205" t="s">
        <v>11</v>
      </c>
    </row>
    <row r="206" spans="3:12" x14ac:dyDescent="0.25">
      <c r="C206">
        <f>'IA - XS'!D27</f>
        <v>575</v>
      </c>
      <c r="D206" t="str">
        <f>'IA - XS'!B27</f>
        <v>Frame: 48 ----- Stem: Integrated w/15 ----- Aerobar: + 5 + 10</v>
      </c>
      <c r="E206">
        <f t="shared" si="27"/>
        <v>1</v>
      </c>
      <c r="F206" t="str">
        <f t="shared" si="30"/>
        <v/>
      </c>
      <c r="G206" t="str">
        <f t="shared" si="31"/>
        <v/>
      </c>
      <c r="H206">
        <f t="shared" si="28"/>
        <v>44</v>
      </c>
      <c r="I206">
        <f t="shared" si="29"/>
        <v>1</v>
      </c>
      <c r="J206" t="str">
        <f>'IA - XS'!G27</f>
        <v xml:space="preserve">Stem Bolts: 40mm -----  Aerobar Bolts: Top 55mm; Bottom N/A </v>
      </c>
      <c r="K206" s="6">
        <v>1</v>
      </c>
      <c r="L206" t="s">
        <v>11</v>
      </c>
    </row>
    <row r="207" spans="3:12" x14ac:dyDescent="0.25">
      <c r="C207">
        <f>'IA - XS'!D28</f>
        <v>580</v>
      </c>
      <c r="D207" t="str">
        <f>'IA - XS'!B28</f>
        <v>Frame: 48 ----- Stem: Integrated w/15 ----- Aerobar: + 20</v>
      </c>
      <c r="E207">
        <f t="shared" si="27"/>
        <v>1</v>
      </c>
      <c r="F207" t="str">
        <f t="shared" si="30"/>
        <v/>
      </c>
      <c r="G207" t="str">
        <f t="shared" si="31"/>
        <v/>
      </c>
      <c r="H207">
        <f t="shared" si="28"/>
        <v>44</v>
      </c>
      <c r="I207">
        <f t="shared" si="29"/>
        <v>1</v>
      </c>
      <c r="J207" t="str">
        <f>'IA - XS'!G28</f>
        <v xml:space="preserve">Stem Bolts: 40mm -----  Aerobar Bolts: Top 20mm; Bottom 30mm </v>
      </c>
      <c r="K207" s="6">
        <v>1</v>
      </c>
      <c r="L207" t="s">
        <v>11</v>
      </c>
    </row>
    <row r="208" spans="3:12" x14ac:dyDescent="0.25">
      <c r="C208">
        <f>'IA - XS'!D29</f>
        <v>585</v>
      </c>
      <c r="D208" t="str">
        <f>'IA - XS'!B29</f>
        <v>Frame: 48 ----- Stem: Integrated w/15 ----- Aerobar: + 20 + 5</v>
      </c>
      <c r="E208">
        <f t="shared" si="27"/>
        <v>1</v>
      </c>
      <c r="F208" t="str">
        <f t="shared" si="30"/>
        <v/>
      </c>
      <c r="G208" t="str">
        <f t="shared" si="31"/>
        <v/>
      </c>
      <c r="H208">
        <f t="shared" si="28"/>
        <v>44</v>
      </c>
      <c r="I208">
        <f t="shared" si="29"/>
        <v>1</v>
      </c>
      <c r="J208" t="str">
        <f>'IA - XS'!G29</f>
        <v xml:space="preserve">Stem Bolts: 40mm -----  Aerobar Bolts: Top 25mm; Bottom 30mm </v>
      </c>
      <c r="K208" s="6">
        <v>1</v>
      </c>
      <c r="L208" t="s">
        <v>11</v>
      </c>
    </row>
    <row r="209" spans="3:12" x14ac:dyDescent="0.25">
      <c r="C209">
        <f>'IA - XS'!D30</f>
        <v>585</v>
      </c>
      <c r="D209" t="str">
        <f>'IA - XS'!B30</f>
        <v>Frame: 48 ----- Stem: Integrated w/15 ----- Aerobar: + 20 + bridge</v>
      </c>
      <c r="E209">
        <f t="shared" si="27"/>
        <v>1</v>
      </c>
      <c r="F209" t="str">
        <f t="shared" si="30"/>
        <v/>
      </c>
      <c r="G209" t="str">
        <f t="shared" si="31"/>
        <v/>
      </c>
      <c r="H209">
        <f t="shared" si="28"/>
        <v>44</v>
      </c>
      <c r="I209">
        <f t="shared" si="29"/>
        <v>1</v>
      </c>
      <c r="J209" t="str">
        <f>'IA - XS'!G30</f>
        <v xml:space="preserve">Stem Bolts: 40mm -----  Aerobar Bolts: Top 25mm; Bottom 30mm </v>
      </c>
      <c r="K209" s="6">
        <v>1</v>
      </c>
      <c r="L209" t="s">
        <v>11</v>
      </c>
    </row>
    <row r="210" spans="3:12" x14ac:dyDescent="0.25">
      <c r="C210">
        <f>'IA - XS'!D31</f>
        <v>590</v>
      </c>
      <c r="D210" t="str">
        <f>'IA - XS'!B31</f>
        <v>Frame: 48 ----- Stem: Integrated w/15 ----- Aerobar: + 30</v>
      </c>
      <c r="E210">
        <f t="shared" si="27"/>
        <v>1</v>
      </c>
      <c r="F210">
        <f t="shared" si="30"/>
        <v>1</v>
      </c>
      <c r="G210" t="str">
        <f t="shared" si="31"/>
        <v/>
      </c>
      <c r="H210">
        <f t="shared" si="28"/>
        <v>44</v>
      </c>
      <c r="I210">
        <f t="shared" si="29"/>
        <v>1</v>
      </c>
      <c r="J210" t="str">
        <f>'IA - XS'!G31</f>
        <v xml:space="preserve">Stem Bolts: 40mm -----  Aerobar Bolts: Top 25mm; Bottom 30mm </v>
      </c>
      <c r="K210" s="6">
        <v>1</v>
      </c>
      <c r="L210" t="s">
        <v>11</v>
      </c>
    </row>
    <row r="211" spans="3:12" x14ac:dyDescent="0.25">
      <c r="C211">
        <f>'IA - XS'!D32</f>
        <v>590</v>
      </c>
      <c r="D211" t="str">
        <f>'IA - XS'!B32</f>
        <v>Frame: 48 ----- Stem: Integrated w/15 ----- Aerobar: + 20 + bridge + 5</v>
      </c>
      <c r="E211">
        <f t="shared" si="27"/>
        <v>1</v>
      </c>
      <c r="F211" t="str">
        <f t="shared" si="30"/>
        <v/>
      </c>
      <c r="G211" t="str">
        <f t="shared" si="31"/>
        <v/>
      </c>
      <c r="H211">
        <f t="shared" si="28"/>
        <v>44</v>
      </c>
      <c r="I211">
        <f t="shared" si="29"/>
        <v>1</v>
      </c>
      <c r="J211" t="str">
        <f>'IA - XS'!G32</f>
        <v xml:space="preserve">Stem Bolts: 40mm -----  Aerobar Bolts: Top 30mm; Bottom 30mm </v>
      </c>
      <c r="K211" s="6">
        <v>1</v>
      </c>
      <c r="L211" t="s">
        <v>11</v>
      </c>
    </row>
    <row r="212" spans="3:12" x14ac:dyDescent="0.25">
      <c r="C212">
        <f>'IA - XS'!D33</f>
        <v>595</v>
      </c>
      <c r="D212" t="str">
        <f>'IA - XS'!B33</f>
        <v>Frame: 48 ----- Stem: Integrated w/15 ----- Aerobar: + 30 + bridge</v>
      </c>
      <c r="E212">
        <f t="shared" si="27"/>
        <v>1</v>
      </c>
      <c r="F212">
        <f t="shared" si="30"/>
        <v>1</v>
      </c>
      <c r="G212" t="str">
        <f t="shared" si="31"/>
        <v/>
      </c>
      <c r="H212">
        <f t="shared" si="28"/>
        <v>44</v>
      </c>
      <c r="I212">
        <f t="shared" si="29"/>
        <v>1</v>
      </c>
      <c r="J212" t="str">
        <f>'IA - XS'!G33</f>
        <v xml:space="preserve">Stem Bolts: 40mm -----  Aerobar Bolts: Top 30mm; Bottom 30mm </v>
      </c>
      <c r="K212" s="6">
        <v>1</v>
      </c>
      <c r="L212" t="s">
        <v>11</v>
      </c>
    </row>
    <row r="213" spans="3:12" x14ac:dyDescent="0.25">
      <c r="C213">
        <f>'IA - XS'!D34</f>
        <v>600</v>
      </c>
      <c r="D213" t="str">
        <f>'IA - XS'!B34</f>
        <v>Frame: 48 ----- Stem: Integrated w/15 ----- Aerobar: + 30 + bridge + 5</v>
      </c>
      <c r="E213">
        <f t="shared" si="27"/>
        <v>1</v>
      </c>
      <c r="F213">
        <f t="shared" si="30"/>
        <v>1</v>
      </c>
      <c r="G213" t="str">
        <f t="shared" si="31"/>
        <v/>
      </c>
      <c r="H213">
        <f t="shared" si="28"/>
        <v>44</v>
      </c>
      <c r="I213">
        <f t="shared" si="29"/>
        <v>1</v>
      </c>
      <c r="J213" t="str">
        <f>'IA - XS'!G34</f>
        <v xml:space="preserve">Stem Bolts: 40mm -----  Aerobar Bolts: Top 35mm; Bottom 30mm </v>
      </c>
      <c r="K213" s="6">
        <v>1</v>
      </c>
      <c r="L213" t="s">
        <v>11</v>
      </c>
    </row>
    <row r="214" spans="3:12" x14ac:dyDescent="0.25">
      <c r="C214">
        <f>'IA - XS'!D35</f>
        <v>605</v>
      </c>
      <c r="D214" t="str">
        <f>'IA - XS'!B35</f>
        <v>Frame: 48 ----- Stem: Integrated w/15 ----- Aerobar: + 40 + bridge</v>
      </c>
      <c r="E214">
        <f t="shared" si="27"/>
        <v>1</v>
      </c>
      <c r="F214" t="str">
        <f t="shared" si="30"/>
        <v/>
      </c>
      <c r="G214">
        <f t="shared" si="31"/>
        <v>1</v>
      </c>
      <c r="H214">
        <f t="shared" si="28"/>
        <v>44</v>
      </c>
      <c r="I214">
        <f t="shared" si="29"/>
        <v>1</v>
      </c>
      <c r="J214" t="str">
        <f>'IA - XS'!G35</f>
        <v xml:space="preserve">Stem Bolts: 40mm -----  Aerobar Bolts: Top 35mm; Bottom 30mm </v>
      </c>
      <c r="K214" s="6">
        <v>1</v>
      </c>
      <c r="L214" t="s">
        <v>11</v>
      </c>
    </row>
    <row r="215" spans="3:12" x14ac:dyDescent="0.25">
      <c r="C215">
        <f>'IA - XS'!D36</f>
        <v>610</v>
      </c>
      <c r="D215" t="str">
        <f>'IA - XS'!B36</f>
        <v>Frame: 48 ----- Stem: Integrated w/15 ----- Aerobar: + 40 + bridge + 5</v>
      </c>
      <c r="E215">
        <f t="shared" si="27"/>
        <v>1</v>
      </c>
      <c r="F215" t="str">
        <f t="shared" si="30"/>
        <v/>
      </c>
      <c r="G215">
        <f t="shared" si="31"/>
        <v>1</v>
      </c>
      <c r="H215">
        <f t="shared" si="28"/>
        <v>44</v>
      </c>
      <c r="I215">
        <f t="shared" si="29"/>
        <v>1</v>
      </c>
      <c r="J215" t="str">
        <f>'IA - XS'!G36</f>
        <v xml:space="preserve">Stem Bolts: 40mm -----  Aerobar Bolts: Top 35mm; Bottom 30mm </v>
      </c>
      <c r="K215" s="6">
        <v>1</v>
      </c>
      <c r="L215" t="s">
        <v>11</v>
      </c>
    </row>
    <row r="216" spans="3:12" x14ac:dyDescent="0.25">
      <c r="C216">
        <f>'IA - XS'!D37</f>
        <v>615</v>
      </c>
      <c r="D216" t="str">
        <f>'IA - XS'!B37</f>
        <v>Frame: 48 ----- Stem: Integrated w/15 ----- Aerobar: + 40 + bridge + 10</v>
      </c>
      <c r="E216">
        <f t="shared" si="27"/>
        <v>1</v>
      </c>
      <c r="F216" t="str">
        <f t="shared" si="30"/>
        <v/>
      </c>
      <c r="G216">
        <f t="shared" si="31"/>
        <v>1</v>
      </c>
      <c r="H216">
        <f t="shared" si="28"/>
        <v>44</v>
      </c>
      <c r="I216">
        <f t="shared" si="29"/>
        <v>1</v>
      </c>
      <c r="J216" t="str">
        <f>'IA - XS'!G37</f>
        <v xml:space="preserve">Stem Bolts: 40mm -----  Aerobar Bolts: Top 40mm; Bottom 30mm </v>
      </c>
      <c r="K216" s="6">
        <v>1</v>
      </c>
      <c r="L216" t="s">
        <v>11</v>
      </c>
    </row>
    <row r="217" spans="3:12" x14ac:dyDescent="0.25">
      <c r="C217">
        <f>'IA - XS'!D38</f>
        <v>620</v>
      </c>
      <c r="D217" t="str">
        <f>'IA - XS'!B38</f>
        <v>Frame: 48 ----- Stem: Integrated w/15 ----- Aerobar: + 40 + bridge + 10 + 5</v>
      </c>
      <c r="E217">
        <f t="shared" si="27"/>
        <v>1</v>
      </c>
      <c r="F217" t="str">
        <f t="shared" si="30"/>
        <v/>
      </c>
      <c r="G217">
        <f t="shared" si="31"/>
        <v>1</v>
      </c>
      <c r="H217">
        <f t="shared" si="28"/>
        <v>44</v>
      </c>
      <c r="I217">
        <f t="shared" si="29"/>
        <v>1</v>
      </c>
      <c r="J217" t="str">
        <f>'IA - XS'!G38</f>
        <v xml:space="preserve">Stem Bolts: 40mm -----  Aerobar Bolts: Top 45mm; Bottom 30mm </v>
      </c>
      <c r="K217" s="6">
        <v>1</v>
      </c>
      <c r="L217" t="s">
        <v>11</v>
      </c>
    </row>
    <row r="218" spans="3:12" x14ac:dyDescent="0.25">
      <c r="C218" s="6">
        <f>'IA - XS'!D39</f>
        <v>0</v>
      </c>
      <c r="D218" s="6" t="str">
        <f>'IA - XS'!B39</f>
        <v xml:space="preserve">Frame: 48 ----- Stem: Integrated w/30 ----- Aerobar: </v>
      </c>
      <c r="E218" s="6">
        <f t="shared" si="27"/>
        <v>1</v>
      </c>
      <c r="F218" s="6">
        <f t="shared" si="30"/>
        <v>1</v>
      </c>
      <c r="G218" s="6" t="str">
        <f t="shared" si="31"/>
        <v/>
      </c>
      <c r="H218" s="6">
        <f t="shared" si="28"/>
        <v>44</v>
      </c>
      <c r="I218" s="6">
        <f t="shared" si="29"/>
        <v>1</v>
      </c>
      <c r="J218" s="6" t="str">
        <f>'IA - XS'!G39</f>
        <v xml:space="preserve">Stem Bolts: 55mm -----  Aerobar Bolts: Top N/A; Bottom N/A </v>
      </c>
      <c r="K218" s="6">
        <v>1</v>
      </c>
      <c r="L218" t="s">
        <v>11</v>
      </c>
    </row>
    <row r="219" spans="3:12" x14ac:dyDescent="0.25">
      <c r="C219" s="6">
        <f>'IA - XS'!D40</f>
        <v>580</v>
      </c>
      <c r="D219" s="6" t="str">
        <f>'IA - XS'!B40</f>
        <v>Frame: 48 ----- Stem: Integrated w/30 ----- Aerobar: + 5</v>
      </c>
      <c r="E219" s="6">
        <f t="shared" si="27"/>
        <v>1</v>
      </c>
      <c r="F219" s="6">
        <f t="shared" si="30"/>
        <v>1</v>
      </c>
      <c r="G219" s="6" t="str">
        <f t="shared" si="31"/>
        <v/>
      </c>
      <c r="H219" s="6">
        <f t="shared" si="28"/>
        <v>44</v>
      </c>
      <c r="I219" s="6">
        <f t="shared" si="29"/>
        <v>1</v>
      </c>
      <c r="J219" s="6" t="str">
        <f>'IA - XS'!G40</f>
        <v xml:space="preserve">Stem Bolts: 55mm -----  Aerobar Bolts: Top 45mm; Bottom N/A </v>
      </c>
      <c r="K219" s="6">
        <v>1</v>
      </c>
      <c r="L219" t="s">
        <v>11</v>
      </c>
    </row>
    <row r="220" spans="3:12" x14ac:dyDescent="0.25">
      <c r="C220" s="6">
        <f>'IA - XS'!D41</f>
        <v>585</v>
      </c>
      <c r="D220" s="6" t="str">
        <f>'IA - XS'!B41</f>
        <v>Frame: 48 ----- Stem: Integrated w/30 ----- Aerobar: + 10</v>
      </c>
      <c r="E220" s="6">
        <f t="shared" si="27"/>
        <v>1</v>
      </c>
      <c r="F220" s="6">
        <f t="shared" si="30"/>
        <v>1</v>
      </c>
      <c r="G220" s="6" t="str">
        <f t="shared" si="31"/>
        <v/>
      </c>
      <c r="H220" s="6">
        <f t="shared" si="28"/>
        <v>44</v>
      </c>
      <c r="I220" s="6">
        <f t="shared" si="29"/>
        <v>1</v>
      </c>
      <c r="J220" s="6" t="str">
        <f>'IA - XS'!G41</f>
        <v xml:space="preserve">Stem Bolts: 55mm -----  Aerobar Bolts: Top 50mm; Bottom N/A </v>
      </c>
      <c r="K220" s="6">
        <v>1</v>
      </c>
      <c r="L220" t="s">
        <v>11</v>
      </c>
    </row>
    <row r="221" spans="3:12" x14ac:dyDescent="0.25">
      <c r="C221" s="6">
        <f>'IA - XS'!D42</f>
        <v>590</v>
      </c>
      <c r="D221" s="6" t="str">
        <f>'IA - XS'!B42</f>
        <v>Frame: 48 ----- Stem: Integrated w/30 ----- Aerobar: + 5 + 10</v>
      </c>
      <c r="E221" s="6">
        <f t="shared" si="27"/>
        <v>1</v>
      </c>
      <c r="F221" s="6">
        <f t="shared" si="30"/>
        <v>1</v>
      </c>
      <c r="G221" s="6" t="str">
        <f t="shared" si="31"/>
        <v/>
      </c>
      <c r="H221" s="6">
        <f t="shared" si="28"/>
        <v>44</v>
      </c>
      <c r="I221" s="6">
        <f t="shared" si="29"/>
        <v>1</v>
      </c>
      <c r="J221" s="6" t="str">
        <f>'IA - XS'!G42</f>
        <v xml:space="preserve">Stem Bolts: 55mm -----  Aerobar Bolts: Top 55mm; Bottom N/A </v>
      </c>
      <c r="K221" s="6">
        <v>1</v>
      </c>
      <c r="L221" t="s">
        <v>11</v>
      </c>
    </row>
    <row r="222" spans="3:12" x14ac:dyDescent="0.25">
      <c r="C222" s="6">
        <f>'IA - XS'!D43</f>
        <v>595</v>
      </c>
      <c r="D222" s="6" t="str">
        <f>'IA - XS'!B43</f>
        <v>Frame: 48 ----- Stem: Integrated w/30 ----- Aerobar: + 20</v>
      </c>
      <c r="E222" s="6">
        <f t="shared" si="27"/>
        <v>1</v>
      </c>
      <c r="F222" s="6">
        <f t="shared" si="30"/>
        <v>1</v>
      </c>
      <c r="G222" s="6" t="str">
        <f t="shared" si="31"/>
        <v/>
      </c>
      <c r="H222" s="6">
        <f t="shared" si="28"/>
        <v>44</v>
      </c>
      <c r="I222" s="6">
        <f t="shared" si="29"/>
        <v>1</v>
      </c>
      <c r="J222" s="6" t="str">
        <f>'IA - XS'!G43</f>
        <v xml:space="preserve">Stem Bolts: 55mm -----  Aerobar Bolts: Top 20mm; Bottom 30mm </v>
      </c>
      <c r="K222" s="6">
        <v>1</v>
      </c>
      <c r="L222" t="s">
        <v>11</v>
      </c>
    </row>
    <row r="223" spans="3:12" x14ac:dyDescent="0.25">
      <c r="C223" s="6">
        <f>'IA - XS'!D44</f>
        <v>600</v>
      </c>
      <c r="D223" s="6" t="str">
        <f>'IA - XS'!B44</f>
        <v>Frame: 48 ----- Stem: Integrated w/30 ----- Aerobar: + 20 + 5</v>
      </c>
      <c r="E223" s="6">
        <f t="shared" si="27"/>
        <v>1</v>
      </c>
      <c r="F223" s="6">
        <f t="shared" si="30"/>
        <v>1</v>
      </c>
      <c r="G223" s="6" t="str">
        <f t="shared" si="31"/>
        <v/>
      </c>
      <c r="H223" s="6">
        <f t="shared" si="28"/>
        <v>44</v>
      </c>
      <c r="I223" s="6">
        <f t="shared" si="29"/>
        <v>1</v>
      </c>
      <c r="J223" s="6" t="str">
        <f>'IA - XS'!G44</f>
        <v xml:space="preserve">Stem Bolts: 55mm -----  Aerobar Bolts: Top 25mm; Bottom 30mm </v>
      </c>
      <c r="K223" s="6">
        <v>1</v>
      </c>
      <c r="L223" t="s">
        <v>11</v>
      </c>
    </row>
    <row r="224" spans="3:12" x14ac:dyDescent="0.25">
      <c r="C224" s="6">
        <f>'IA - XS'!D45</f>
        <v>600</v>
      </c>
      <c r="D224" s="6" t="str">
        <f>'IA - XS'!B45</f>
        <v>Frame: 48 ----- Stem: Integrated w/30 ----- Aerobar: + 20 + bridge</v>
      </c>
      <c r="E224" s="6">
        <f t="shared" si="27"/>
        <v>1</v>
      </c>
      <c r="F224" s="6">
        <f t="shared" si="30"/>
        <v>1</v>
      </c>
      <c r="G224" s="6" t="str">
        <f t="shared" si="31"/>
        <v/>
      </c>
      <c r="H224" s="6">
        <f t="shared" si="28"/>
        <v>44</v>
      </c>
      <c r="I224" s="6">
        <f t="shared" si="29"/>
        <v>1</v>
      </c>
      <c r="J224" s="6" t="str">
        <f>'IA - XS'!G45</f>
        <v xml:space="preserve">Stem Bolts: 55mm -----  Aerobar Bolts: Top 25mm; Bottom 30mm </v>
      </c>
      <c r="K224" s="6">
        <v>1</v>
      </c>
      <c r="L224" t="s">
        <v>11</v>
      </c>
    </row>
    <row r="225" spans="3:12" x14ac:dyDescent="0.25">
      <c r="C225" s="6">
        <f>'IA - XS'!D46</f>
        <v>605</v>
      </c>
      <c r="D225" s="6" t="str">
        <f>'IA - XS'!B46</f>
        <v>Frame: 48 ----- Stem: Integrated w/30 ----- Aerobar: + 30</v>
      </c>
      <c r="E225" s="6">
        <f t="shared" si="27"/>
        <v>1</v>
      </c>
      <c r="F225" s="6">
        <f t="shared" si="30"/>
        <v>1</v>
      </c>
      <c r="G225" s="6" t="str">
        <f t="shared" si="31"/>
        <v/>
      </c>
      <c r="H225" s="6">
        <f t="shared" si="28"/>
        <v>44</v>
      </c>
      <c r="I225" s="6">
        <f t="shared" si="29"/>
        <v>1</v>
      </c>
      <c r="J225" s="6" t="str">
        <f>'IA - XS'!G46</f>
        <v xml:space="preserve">Stem Bolts: 55mm -----  Aerobar Bolts: Top 25mm; Bottom 30mm </v>
      </c>
      <c r="K225" s="6">
        <v>1</v>
      </c>
      <c r="L225" t="s">
        <v>11</v>
      </c>
    </row>
    <row r="226" spans="3:12" x14ac:dyDescent="0.25">
      <c r="C226" s="6">
        <f>'IA - XS'!D47</f>
        <v>605</v>
      </c>
      <c r="D226" s="6" t="str">
        <f>'IA - XS'!B47</f>
        <v>Frame: 48 ----- Stem: Integrated w/30 ----- Aerobar: + 20 + bridge + 5</v>
      </c>
      <c r="E226" s="6">
        <f t="shared" si="27"/>
        <v>1</v>
      </c>
      <c r="F226" s="6">
        <f t="shared" si="30"/>
        <v>1</v>
      </c>
      <c r="G226" s="6" t="str">
        <f t="shared" si="31"/>
        <v/>
      </c>
      <c r="H226" s="6">
        <f t="shared" si="28"/>
        <v>44</v>
      </c>
      <c r="I226" s="6">
        <f t="shared" si="29"/>
        <v>1</v>
      </c>
      <c r="J226" s="6" t="str">
        <f>'IA - XS'!G47</f>
        <v xml:space="preserve">Stem Bolts: 55mm -----  Aerobar Bolts: Top 30mm; Bottom 30mm </v>
      </c>
      <c r="K226" s="6">
        <v>1</v>
      </c>
      <c r="L226" t="s">
        <v>11</v>
      </c>
    </row>
    <row r="227" spans="3:12" x14ac:dyDescent="0.25">
      <c r="C227" s="6">
        <f>'IA - XS'!D48</f>
        <v>610</v>
      </c>
      <c r="D227" s="6" t="str">
        <f>'IA - XS'!B48</f>
        <v>Frame: 48 ----- Stem: Integrated w/30 ----- Aerobar: + 30 + bridge</v>
      </c>
      <c r="E227" s="6">
        <f t="shared" si="27"/>
        <v>1</v>
      </c>
      <c r="F227" s="6">
        <f t="shared" si="30"/>
        <v>1</v>
      </c>
      <c r="G227" s="6" t="str">
        <f t="shared" si="31"/>
        <v/>
      </c>
      <c r="H227" s="6">
        <f t="shared" si="28"/>
        <v>44</v>
      </c>
      <c r="I227" s="6">
        <f t="shared" si="29"/>
        <v>1</v>
      </c>
      <c r="J227" s="6" t="str">
        <f>'IA - XS'!G48</f>
        <v xml:space="preserve">Stem Bolts: 55mm -----  Aerobar Bolts: Top 30mm; Bottom 30mm </v>
      </c>
      <c r="K227" s="6">
        <v>1</v>
      </c>
      <c r="L227" t="s">
        <v>11</v>
      </c>
    </row>
    <row r="228" spans="3:12" x14ac:dyDescent="0.25">
      <c r="C228" s="6">
        <f>'IA - XS'!D49</f>
        <v>615</v>
      </c>
      <c r="D228" s="6" t="str">
        <f>'IA - XS'!B49</f>
        <v>Frame: 48 ----- Stem: Integrated w/30 ----- Aerobar: + 30 + bridge + 5</v>
      </c>
      <c r="E228" s="6">
        <f t="shared" si="27"/>
        <v>1</v>
      </c>
      <c r="F228" s="6">
        <f t="shared" si="30"/>
        <v>1</v>
      </c>
      <c r="G228" s="6" t="str">
        <f t="shared" si="31"/>
        <v/>
      </c>
      <c r="H228" s="6">
        <f t="shared" si="28"/>
        <v>44</v>
      </c>
      <c r="I228" s="6">
        <f t="shared" si="29"/>
        <v>1</v>
      </c>
      <c r="J228" s="6" t="str">
        <f>'IA - XS'!G49</f>
        <v xml:space="preserve">Stem Bolts: 55mm -----  Aerobar Bolts: Top 35mm; Bottom 30mm </v>
      </c>
      <c r="K228" s="6">
        <v>1</v>
      </c>
      <c r="L228" t="s">
        <v>11</v>
      </c>
    </row>
    <row r="229" spans="3:12" x14ac:dyDescent="0.25">
      <c r="C229" s="6">
        <f>'IA - XS'!D50</f>
        <v>620</v>
      </c>
      <c r="D229" s="6" t="str">
        <f>'IA - XS'!B50</f>
        <v>Frame: 48 ----- Stem: Integrated w/30 ----- Aerobar: + 40 + bridge</v>
      </c>
      <c r="E229" s="6">
        <f t="shared" si="27"/>
        <v>1</v>
      </c>
      <c r="F229" s="6">
        <f t="shared" si="30"/>
        <v>1</v>
      </c>
      <c r="G229" s="6">
        <f t="shared" si="31"/>
        <v>1</v>
      </c>
      <c r="H229" s="6">
        <f t="shared" si="28"/>
        <v>44</v>
      </c>
      <c r="I229" s="6">
        <f t="shared" si="29"/>
        <v>1</v>
      </c>
      <c r="J229" s="6" t="str">
        <f>'IA - XS'!G50</f>
        <v xml:space="preserve">Stem Bolts: 55mm -----  Aerobar Bolts: Top 35mm; Bottom 30mm </v>
      </c>
      <c r="K229" s="6">
        <v>1</v>
      </c>
      <c r="L229" t="s">
        <v>11</v>
      </c>
    </row>
    <row r="230" spans="3:12" x14ac:dyDescent="0.25">
      <c r="C230" s="6">
        <f>'IA - XS'!D51</f>
        <v>625</v>
      </c>
      <c r="D230" s="6" t="str">
        <f>'IA - XS'!B51</f>
        <v>Frame: 48 ----- Stem: Integrated w/30 ----- Aerobar: + 40 + bridge + 5</v>
      </c>
      <c r="E230" s="6">
        <f t="shared" si="27"/>
        <v>1</v>
      </c>
      <c r="F230" s="6">
        <f t="shared" si="30"/>
        <v>1</v>
      </c>
      <c r="G230" s="6">
        <f t="shared" si="31"/>
        <v>1</v>
      </c>
      <c r="H230" s="6">
        <f t="shared" si="28"/>
        <v>44</v>
      </c>
      <c r="I230" s="6">
        <f t="shared" si="29"/>
        <v>1</v>
      </c>
      <c r="J230" s="6" t="str">
        <f>'IA - XS'!G51</f>
        <v xml:space="preserve">Stem Bolts: 55mm -----  Aerobar Bolts: Top 35mm; Bottom 30mm </v>
      </c>
      <c r="K230" s="6">
        <v>1</v>
      </c>
      <c r="L230" t="s">
        <v>11</v>
      </c>
    </row>
    <row r="231" spans="3:12" x14ac:dyDescent="0.25">
      <c r="C231" s="6">
        <f>'IA - XS'!D52</f>
        <v>630</v>
      </c>
      <c r="D231" s="6" t="str">
        <f>'IA - XS'!B52</f>
        <v>Frame: 48 ----- Stem: Integrated w/30 ----- Aerobar: + 40 + bridge + 10</v>
      </c>
      <c r="E231" s="6">
        <f t="shared" si="27"/>
        <v>1</v>
      </c>
      <c r="F231" s="6">
        <f t="shared" si="30"/>
        <v>1</v>
      </c>
      <c r="G231" s="6">
        <f t="shared" si="31"/>
        <v>1</v>
      </c>
      <c r="H231" s="6">
        <f t="shared" si="28"/>
        <v>44</v>
      </c>
      <c r="I231" s="6">
        <f t="shared" si="29"/>
        <v>1</v>
      </c>
      <c r="J231" s="6" t="str">
        <f>'IA - XS'!G52</f>
        <v xml:space="preserve">Stem Bolts: 55mm -----  Aerobar Bolts: Top 40mm; Bottom 30mm </v>
      </c>
      <c r="K231" s="6">
        <v>1</v>
      </c>
      <c r="L231" t="s">
        <v>11</v>
      </c>
    </row>
    <row r="232" spans="3:12" x14ac:dyDescent="0.25">
      <c r="C232" s="6">
        <f>'IA - XS'!D53</f>
        <v>635</v>
      </c>
      <c r="D232" s="6" t="str">
        <f>'IA - XS'!B53</f>
        <v>Frame: 48 ----- Stem: Integrated w/30 ----- Aerobar: + 40 + bridge + 10 + 5</v>
      </c>
      <c r="E232" s="6">
        <f t="shared" si="27"/>
        <v>1</v>
      </c>
      <c r="F232" s="6">
        <f t="shared" si="30"/>
        <v>1</v>
      </c>
      <c r="G232" s="6">
        <f>IF(ISNUMBER(FIND("40",D232)),1,"")</f>
        <v>1</v>
      </c>
      <c r="H232" s="6">
        <f t="shared" si="28"/>
        <v>44</v>
      </c>
      <c r="I232" s="6">
        <f t="shared" si="29"/>
        <v>1</v>
      </c>
      <c r="J232" s="6" t="str">
        <f>'IA - XS'!G53</f>
        <v xml:space="preserve">Stem Bolts: 55mm -----  Aerobar Bolts: Top 45mm; Bottom 30mm </v>
      </c>
      <c r="K232" s="6">
        <v>1</v>
      </c>
      <c r="L232" t="s">
        <v>11</v>
      </c>
    </row>
    <row r="233" spans="3:12" x14ac:dyDescent="0.25">
      <c r="C233">
        <f>'IA - XL'!D54</f>
        <v>0</v>
      </c>
      <c r="D233" t="str">
        <f>'IA - XL'!B54</f>
        <v xml:space="preserve">Frame: 58 ----- Stem: 31.8 ----- Carbon Aerobar: </v>
      </c>
      <c r="E233">
        <f t="shared" ref="E233:E247" si="32">$W$16*$X$16</f>
        <v>0</v>
      </c>
      <c r="F233" t="str">
        <f t="shared" si="30"/>
        <v/>
      </c>
      <c r="G233" t="str">
        <f t="shared" ref="G233:G296" si="33">IF(ISNUMBER(FIND("40",D233)),1,"")</f>
        <v/>
      </c>
      <c r="H233">
        <f t="shared" ref="H233:H247" si="34">$E$4-$V$24</f>
        <v>-67</v>
      </c>
      <c r="I233">
        <f t="shared" ref="I233:I247" si="35">$AC$9</f>
        <v>1</v>
      </c>
      <c r="J233" t="str">
        <f>'IA - XL'!G54</f>
        <v xml:space="preserve">Stem Bolts: N/A -----  Aerobar Bolts: Top N/A; Bottom N/A </v>
      </c>
      <c r="K233" s="6">
        <v>1</v>
      </c>
      <c r="L233" t="s">
        <v>11</v>
      </c>
    </row>
    <row r="234" spans="3:12" x14ac:dyDescent="0.25">
      <c r="C234">
        <f>'IA - XL'!D55</f>
        <v>635</v>
      </c>
      <c r="D234" t="str">
        <f>'IA - XL'!B55</f>
        <v>Frame: 58 ----- Stem: 31.8 ----- Carbon Aerobar: + 5</v>
      </c>
      <c r="E234">
        <f t="shared" si="32"/>
        <v>0</v>
      </c>
      <c r="F234" t="str">
        <f t="shared" si="30"/>
        <v/>
      </c>
      <c r="G234" t="str">
        <f t="shared" si="33"/>
        <v/>
      </c>
      <c r="H234">
        <f t="shared" si="34"/>
        <v>-67</v>
      </c>
      <c r="I234">
        <f t="shared" si="35"/>
        <v>1</v>
      </c>
      <c r="J234" t="str">
        <f>'IA - XL'!G55</f>
        <v xml:space="preserve">Stem Bolts: N/A -----  Aerobar Bolts: Top 45mm; Bottom N/A </v>
      </c>
      <c r="K234" s="6">
        <v>1</v>
      </c>
      <c r="L234" t="s">
        <v>11</v>
      </c>
    </row>
    <row r="235" spans="3:12" x14ac:dyDescent="0.25">
      <c r="C235">
        <f>'IA - XL'!D56</f>
        <v>640</v>
      </c>
      <c r="D235" t="str">
        <f>'IA - XL'!B56</f>
        <v>Frame: 58 ----- Stem: 31.8 ----- Carbon Aerobar: + 10</v>
      </c>
      <c r="E235">
        <f t="shared" si="32"/>
        <v>0</v>
      </c>
      <c r="F235" t="str">
        <f t="shared" si="30"/>
        <v/>
      </c>
      <c r="G235" t="str">
        <f t="shared" si="33"/>
        <v/>
      </c>
      <c r="H235">
        <f t="shared" si="34"/>
        <v>-67</v>
      </c>
      <c r="I235">
        <f t="shared" si="35"/>
        <v>1</v>
      </c>
      <c r="J235" t="str">
        <f>'IA - XL'!G56</f>
        <v xml:space="preserve">Stem Bolts: N/A -----  Aerobar Bolts: Top 50mm; Bottom N/A </v>
      </c>
      <c r="K235" s="6">
        <v>1</v>
      </c>
      <c r="L235" t="s">
        <v>11</v>
      </c>
    </row>
    <row r="236" spans="3:12" x14ac:dyDescent="0.25">
      <c r="C236">
        <f>'IA - XL'!D57</f>
        <v>645</v>
      </c>
      <c r="D236" t="str">
        <f>'IA - XL'!B57</f>
        <v>Frame: 58 ----- Stem: 31.8 ----- Carbon Aerobar: + 5 + 10</v>
      </c>
      <c r="E236">
        <f t="shared" si="32"/>
        <v>0</v>
      </c>
      <c r="F236" t="str">
        <f t="shared" si="30"/>
        <v/>
      </c>
      <c r="G236" t="str">
        <f t="shared" si="33"/>
        <v/>
      </c>
      <c r="H236">
        <f t="shared" si="34"/>
        <v>-67</v>
      </c>
      <c r="I236">
        <f t="shared" si="35"/>
        <v>1</v>
      </c>
      <c r="J236" t="str">
        <f>'IA - XL'!G57</f>
        <v xml:space="preserve">Stem Bolts: N/A -----  Aerobar Bolts: Top 55mm; Bottom N/A </v>
      </c>
      <c r="K236" s="6">
        <v>1</v>
      </c>
      <c r="L236" t="s">
        <v>11</v>
      </c>
    </row>
    <row r="237" spans="3:12" x14ac:dyDescent="0.25">
      <c r="C237">
        <f>'IA - XL'!D58</f>
        <v>650</v>
      </c>
      <c r="D237" t="str">
        <f>'IA - XL'!B58</f>
        <v>Frame: 58 ----- Stem: 31.8 ----- Carbon Aerobar: + 20</v>
      </c>
      <c r="E237">
        <f t="shared" si="32"/>
        <v>0</v>
      </c>
      <c r="F237" t="str">
        <f t="shared" si="30"/>
        <v/>
      </c>
      <c r="G237" t="str">
        <f t="shared" si="33"/>
        <v/>
      </c>
      <c r="H237">
        <f t="shared" si="34"/>
        <v>-67</v>
      </c>
      <c r="I237">
        <f t="shared" si="35"/>
        <v>1</v>
      </c>
      <c r="J237" t="str">
        <f>'IA - XL'!G58</f>
        <v xml:space="preserve">Stem Bolts: N/A -----  Aerobar Bolts: Top 20mm; Bottom 30mm </v>
      </c>
      <c r="K237" s="6">
        <v>1</v>
      </c>
      <c r="L237" t="s">
        <v>11</v>
      </c>
    </row>
    <row r="238" spans="3:12" x14ac:dyDescent="0.25">
      <c r="C238">
        <f>'IA - XL'!D59</f>
        <v>655</v>
      </c>
      <c r="D238" t="str">
        <f>'IA - XL'!B59</f>
        <v>Frame: 58 ----- Stem: 31.8 ----- Carbon Aerobar: + 20 + 5</v>
      </c>
      <c r="E238">
        <f t="shared" si="32"/>
        <v>0</v>
      </c>
      <c r="F238" t="str">
        <f t="shared" si="30"/>
        <v/>
      </c>
      <c r="G238" t="str">
        <f t="shared" si="33"/>
        <v/>
      </c>
      <c r="H238">
        <f t="shared" si="34"/>
        <v>-67</v>
      </c>
      <c r="I238">
        <f t="shared" si="35"/>
        <v>1</v>
      </c>
      <c r="J238" t="str">
        <f>'IA - XL'!G59</f>
        <v xml:space="preserve">Stem Bolts: N/A -----  Aerobar Bolts: Top 25mm; Bottom 30mm </v>
      </c>
      <c r="K238" s="6">
        <v>1</v>
      </c>
      <c r="L238" t="s">
        <v>11</v>
      </c>
    </row>
    <row r="239" spans="3:12" x14ac:dyDescent="0.25">
      <c r="C239">
        <f>'IA - XL'!D60</f>
        <v>655</v>
      </c>
      <c r="D239" t="str">
        <f>'IA - XL'!B60</f>
        <v>Frame: 58 ----- Stem: 31.8 ----- Carbon Aerobar: + 20 + bridge</v>
      </c>
      <c r="E239">
        <f t="shared" si="32"/>
        <v>0</v>
      </c>
      <c r="F239" t="str">
        <f t="shared" si="30"/>
        <v/>
      </c>
      <c r="G239" t="str">
        <f t="shared" si="33"/>
        <v/>
      </c>
      <c r="H239">
        <f t="shared" si="34"/>
        <v>-67</v>
      </c>
      <c r="I239">
        <f t="shared" si="35"/>
        <v>1</v>
      </c>
      <c r="J239" t="str">
        <f>'IA - XL'!G60</f>
        <v xml:space="preserve">Stem Bolts: N/A -----  Aerobar Bolts: Top 25mm; Bottom 30mm </v>
      </c>
      <c r="K239" s="6">
        <v>1</v>
      </c>
      <c r="L239" t="s">
        <v>11</v>
      </c>
    </row>
    <row r="240" spans="3:12" x14ac:dyDescent="0.25">
      <c r="C240">
        <f>'IA - XL'!D61</f>
        <v>660</v>
      </c>
      <c r="D240" t="str">
        <f>'IA - XL'!B61</f>
        <v>Frame: 58 ----- Stem: 31.8 ----- Carbon Aerobar: + 30</v>
      </c>
      <c r="E240">
        <f t="shared" si="32"/>
        <v>0</v>
      </c>
      <c r="F240">
        <f t="shared" si="30"/>
        <v>1</v>
      </c>
      <c r="G240" t="str">
        <f t="shared" si="33"/>
        <v/>
      </c>
      <c r="H240">
        <f t="shared" si="34"/>
        <v>-67</v>
      </c>
      <c r="I240">
        <f t="shared" si="35"/>
        <v>1</v>
      </c>
      <c r="J240" t="str">
        <f>'IA - XL'!G61</f>
        <v xml:space="preserve">Stem Bolts: N/A -----  Aerobar Bolts: Top 25mm; Bottom 30mm </v>
      </c>
      <c r="K240" s="6">
        <v>1</v>
      </c>
      <c r="L240" t="s">
        <v>11</v>
      </c>
    </row>
    <row r="241" spans="3:12" x14ac:dyDescent="0.25">
      <c r="C241">
        <f>'IA - XL'!D62</f>
        <v>660</v>
      </c>
      <c r="D241" t="str">
        <f>'IA - XL'!B62</f>
        <v>Frame: 58 ----- Stem: 31.8 ----- Carbon Aerobar: + 20 + bridge + 5</v>
      </c>
      <c r="E241">
        <f t="shared" si="32"/>
        <v>0</v>
      </c>
      <c r="F241" t="str">
        <f t="shared" si="30"/>
        <v/>
      </c>
      <c r="G241" t="str">
        <f t="shared" si="33"/>
        <v/>
      </c>
      <c r="H241">
        <f t="shared" si="34"/>
        <v>-67</v>
      </c>
      <c r="I241">
        <f t="shared" si="35"/>
        <v>1</v>
      </c>
      <c r="J241" t="str">
        <f>'IA - XL'!G62</f>
        <v xml:space="preserve">Stem Bolts: N/A -----  Aerobar Bolts: Top 30mm; Bottom 30mm </v>
      </c>
      <c r="K241" s="6">
        <v>1</v>
      </c>
      <c r="L241" t="s">
        <v>11</v>
      </c>
    </row>
    <row r="242" spans="3:12" x14ac:dyDescent="0.25">
      <c r="C242">
        <f>'IA - XL'!D63</f>
        <v>665</v>
      </c>
      <c r="D242" t="str">
        <f>'IA - XL'!B63</f>
        <v>Frame: 58 ----- Stem: 31.8 ----- Carbon Aerobar: + 30 + bridge</v>
      </c>
      <c r="E242">
        <f t="shared" si="32"/>
        <v>0</v>
      </c>
      <c r="F242">
        <f t="shared" si="30"/>
        <v>1</v>
      </c>
      <c r="G242" t="str">
        <f t="shared" si="33"/>
        <v/>
      </c>
      <c r="H242">
        <f t="shared" si="34"/>
        <v>-67</v>
      </c>
      <c r="I242">
        <f t="shared" si="35"/>
        <v>1</v>
      </c>
      <c r="J242" t="str">
        <f>'IA - XL'!G63</f>
        <v xml:space="preserve">Stem Bolts: N/A -----  Aerobar Bolts: Top 30mm; Bottom 30mm </v>
      </c>
      <c r="K242" s="6">
        <v>1</v>
      </c>
      <c r="L242" t="s">
        <v>11</v>
      </c>
    </row>
    <row r="243" spans="3:12" x14ac:dyDescent="0.25">
      <c r="C243">
        <f>'IA - XL'!D64</f>
        <v>670</v>
      </c>
      <c r="D243" t="str">
        <f>'IA - XL'!B64</f>
        <v>Frame: 58 ----- Stem: 31.8 ----- Carbon Aerobar: + 30 + bridge + 5</v>
      </c>
      <c r="E243">
        <f t="shared" si="32"/>
        <v>0</v>
      </c>
      <c r="F243">
        <f t="shared" si="30"/>
        <v>1</v>
      </c>
      <c r="G243" t="str">
        <f t="shared" si="33"/>
        <v/>
      </c>
      <c r="H243">
        <f t="shared" si="34"/>
        <v>-67</v>
      </c>
      <c r="I243">
        <f t="shared" si="35"/>
        <v>1</v>
      </c>
      <c r="J243" t="str">
        <f>'IA - XL'!G64</f>
        <v xml:space="preserve">Stem Bolts: N/A -----  Aerobar Bolts: Top 35mm; Bottom 30mm </v>
      </c>
      <c r="K243" s="6">
        <v>1</v>
      </c>
      <c r="L243" t="s">
        <v>11</v>
      </c>
    </row>
    <row r="244" spans="3:12" x14ac:dyDescent="0.25">
      <c r="C244">
        <f>'IA - XL'!D65</f>
        <v>675</v>
      </c>
      <c r="D244" t="str">
        <f>'IA - XL'!B65</f>
        <v>Frame: 58 ----- Stem: 31.8 ----- Carbon Aerobar: + 40 + bridge</v>
      </c>
      <c r="E244">
        <f t="shared" si="32"/>
        <v>0</v>
      </c>
      <c r="F244" t="str">
        <f t="shared" si="30"/>
        <v/>
      </c>
      <c r="G244">
        <f t="shared" si="33"/>
        <v>1</v>
      </c>
      <c r="H244">
        <f t="shared" si="34"/>
        <v>-67</v>
      </c>
      <c r="I244">
        <f t="shared" si="35"/>
        <v>1</v>
      </c>
      <c r="J244" t="str">
        <f>'IA - XL'!G65</f>
        <v xml:space="preserve">Stem Bolts: N/A -----  Aerobar Bolts: Top 35mm; Bottom 30mm </v>
      </c>
      <c r="K244" s="6">
        <v>1</v>
      </c>
      <c r="L244" t="s">
        <v>11</v>
      </c>
    </row>
    <row r="245" spans="3:12" x14ac:dyDescent="0.25">
      <c r="C245">
        <f>'IA - XL'!D66</f>
        <v>680</v>
      </c>
      <c r="D245" t="str">
        <f>'IA - XL'!B66</f>
        <v>Frame: 58 ----- Stem: 31.8 ----- Carbon Aerobar: + 40 + bridge + 5</v>
      </c>
      <c r="E245">
        <f t="shared" si="32"/>
        <v>0</v>
      </c>
      <c r="F245" t="str">
        <f t="shared" si="30"/>
        <v/>
      </c>
      <c r="G245">
        <f t="shared" si="33"/>
        <v>1</v>
      </c>
      <c r="H245">
        <f t="shared" si="34"/>
        <v>-67</v>
      </c>
      <c r="I245">
        <f t="shared" si="35"/>
        <v>1</v>
      </c>
      <c r="J245" t="str">
        <f>'IA - XL'!G66</f>
        <v xml:space="preserve">Stem Bolts: N/A -----  Aerobar Bolts: Top 35mm; Bottom 30mm </v>
      </c>
      <c r="K245" s="6">
        <v>1</v>
      </c>
      <c r="L245" t="s">
        <v>11</v>
      </c>
    </row>
    <row r="246" spans="3:12" x14ac:dyDescent="0.25">
      <c r="C246">
        <f>'IA - XL'!D67</f>
        <v>685</v>
      </c>
      <c r="D246" t="str">
        <f>'IA - XL'!B67</f>
        <v>Frame: 58 ----- Stem: 31.8 ----- Carbon Aerobar: + 40 + bridge + 10</v>
      </c>
      <c r="E246">
        <f t="shared" si="32"/>
        <v>0</v>
      </c>
      <c r="F246" t="str">
        <f t="shared" si="30"/>
        <v/>
      </c>
      <c r="G246">
        <f t="shared" si="33"/>
        <v>1</v>
      </c>
      <c r="H246">
        <f t="shared" si="34"/>
        <v>-67</v>
      </c>
      <c r="I246">
        <f t="shared" si="35"/>
        <v>1</v>
      </c>
      <c r="J246" t="str">
        <f>'IA - XL'!G67</f>
        <v xml:space="preserve">Stem Bolts: N/A -----  Aerobar Bolts: Top 40mm; Bottom 30mm </v>
      </c>
      <c r="K246" s="6">
        <v>1</v>
      </c>
      <c r="L246" t="s">
        <v>11</v>
      </c>
    </row>
    <row r="247" spans="3:12" x14ac:dyDescent="0.25">
      <c r="C247">
        <f>'IA - XL'!D68</f>
        <v>690</v>
      </c>
      <c r="D247" t="str">
        <f>'IA - XL'!B68</f>
        <v>Frame: 58 ----- Stem: 31.8 ----- Carbon Aerobar: + 40 + bridge + 10 + 5</v>
      </c>
      <c r="E247">
        <f t="shared" si="32"/>
        <v>0</v>
      </c>
      <c r="F247" t="str">
        <f t="shared" si="30"/>
        <v/>
      </c>
      <c r="G247">
        <f t="shared" si="33"/>
        <v>1</v>
      </c>
      <c r="H247">
        <f t="shared" si="34"/>
        <v>-67</v>
      </c>
      <c r="I247">
        <f t="shared" si="35"/>
        <v>1</v>
      </c>
      <c r="J247" t="str">
        <f>'IA - XL'!G68</f>
        <v xml:space="preserve">Stem Bolts: N/A -----  Aerobar Bolts: Top 45mm; Bottom 30mm </v>
      </c>
      <c r="K247" s="6">
        <v>1</v>
      </c>
      <c r="L247" t="s">
        <v>11</v>
      </c>
    </row>
    <row r="248" spans="3:12" x14ac:dyDescent="0.25">
      <c r="C248" s="6">
        <f>'IA - Large'!D54</f>
        <v>0</v>
      </c>
      <c r="D248" s="6" t="str">
        <f>'IA - Large'!B54</f>
        <v xml:space="preserve">Frame: 56 ----- Stem: 31.8 ----- Carbon Aerobar: </v>
      </c>
      <c r="E248" s="6">
        <f t="shared" ref="E248:E262" si="36">$W$15*$X$15</f>
        <v>0</v>
      </c>
      <c r="F248" s="6" t="str">
        <f t="shared" si="30"/>
        <v/>
      </c>
      <c r="G248" s="6" t="str">
        <f t="shared" si="33"/>
        <v/>
      </c>
      <c r="H248" s="6">
        <f t="shared" ref="H248:H262" si="37">$E$4-$V$23</f>
        <v>-45</v>
      </c>
      <c r="I248" s="6">
        <f t="shared" ref="I248:I262" si="38">$AC$8</f>
        <v>1</v>
      </c>
      <c r="J248" s="6" t="str">
        <f>'IA - Large'!G54</f>
        <v xml:space="preserve">Stem Bolts: N/A -----  Aerobar Bolts: Top N/A; Bottom N/A </v>
      </c>
      <c r="K248" s="6">
        <v>1</v>
      </c>
      <c r="L248" t="s">
        <v>11</v>
      </c>
    </row>
    <row r="249" spans="3:12" x14ac:dyDescent="0.25">
      <c r="C249" s="6">
        <f>'IA - Large'!D55</f>
        <v>610</v>
      </c>
      <c r="D249" s="6" t="str">
        <f>'IA - Large'!B55</f>
        <v>Frame: 56 ----- Stem: 31.8 ----- Carbon Aerobar: + 5</v>
      </c>
      <c r="E249" s="6">
        <f t="shared" si="36"/>
        <v>0</v>
      </c>
      <c r="F249" s="6" t="str">
        <f t="shared" si="30"/>
        <v/>
      </c>
      <c r="G249" s="6" t="str">
        <f t="shared" si="33"/>
        <v/>
      </c>
      <c r="H249" s="6">
        <f t="shared" si="37"/>
        <v>-45</v>
      </c>
      <c r="I249" s="6">
        <f t="shared" si="38"/>
        <v>1</v>
      </c>
      <c r="J249" s="6" t="str">
        <f>'IA - Large'!G55</f>
        <v xml:space="preserve">Stem Bolts: N/A -----  Aerobar Bolts: Top 45mm; Bottom N/A </v>
      </c>
      <c r="K249" s="6">
        <v>1</v>
      </c>
      <c r="L249" t="s">
        <v>11</v>
      </c>
    </row>
    <row r="250" spans="3:12" x14ac:dyDescent="0.25">
      <c r="C250" s="6">
        <f>'IA - Large'!D56</f>
        <v>615</v>
      </c>
      <c r="D250" s="6" t="str">
        <f>'IA - Large'!B56</f>
        <v>Frame: 56 ----- Stem: 31.8 ----- Carbon Aerobar: + 10</v>
      </c>
      <c r="E250" s="6">
        <f t="shared" si="36"/>
        <v>0</v>
      </c>
      <c r="F250" s="6" t="str">
        <f t="shared" si="30"/>
        <v/>
      </c>
      <c r="G250" s="6" t="str">
        <f t="shared" si="33"/>
        <v/>
      </c>
      <c r="H250" s="6">
        <f t="shared" si="37"/>
        <v>-45</v>
      </c>
      <c r="I250" s="6">
        <f t="shared" si="38"/>
        <v>1</v>
      </c>
      <c r="J250" s="6" t="str">
        <f>'IA - Large'!G56</f>
        <v xml:space="preserve">Stem Bolts: N/A -----  Aerobar Bolts: Top 50mm; Bottom N/A </v>
      </c>
      <c r="K250" s="6">
        <v>1</v>
      </c>
      <c r="L250" t="s">
        <v>11</v>
      </c>
    </row>
    <row r="251" spans="3:12" x14ac:dyDescent="0.25">
      <c r="C251" s="6">
        <f>'IA - Large'!D57</f>
        <v>620</v>
      </c>
      <c r="D251" s="6" t="str">
        <f>'IA - Large'!B57</f>
        <v>Frame: 56 ----- Stem: 31.8 ----- Carbon Aerobar: + 5 + 10</v>
      </c>
      <c r="E251" s="6">
        <f t="shared" si="36"/>
        <v>0</v>
      </c>
      <c r="F251" s="6" t="str">
        <f t="shared" si="30"/>
        <v/>
      </c>
      <c r="G251" s="6" t="str">
        <f t="shared" si="33"/>
        <v/>
      </c>
      <c r="H251" s="6">
        <f t="shared" si="37"/>
        <v>-45</v>
      </c>
      <c r="I251" s="6">
        <f t="shared" si="38"/>
        <v>1</v>
      </c>
      <c r="J251" s="6" t="str">
        <f>'IA - Large'!G57</f>
        <v xml:space="preserve">Stem Bolts: N/A -----  Aerobar Bolts: Top 55mm; Bottom N/A </v>
      </c>
      <c r="K251" s="6">
        <v>1</v>
      </c>
      <c r="L251" t="s">
        <v>11</v>
      </c>
    </row>
    <row r="252" spans="3:12" x14ac:dyDescent="0.25">
      <c r="C252" s="6">
        <f>'IA - Large'!D58</f>
        <v>625</v>
      </c>
      <c r="D252" s="6" t="str">
        <f>'IA - Large'!B58</f>
        <v>Frame: 56 ----- Stem: 31.8 ----- Carbon Aerobar: + 20</v>
      </c>
      <c r="E252" s="6">
        <f t="shared" si="36"/>
        <v>0</v>
      </c>
      <c r="F252" s="6" t="str">
        <f t="shared" si="30"/>
        <v/>
      </c>
      <c r="G252" s="6" t="str">
        <f t="shared" si="33"/>
        <v/>
      </c>
      <c r="H252" s="6">
        <f t="shared" si="37"/>
        <v>-45</v>
      </c>
      <c r="I252" s="6">
        <f t="shared" si="38"/>
        <v>1</v>
      </c>
      <c r="J252" s="6" t="str">
        <f>'IA - Large'!G58</f>
        <v xml:space="preserve">Stem Bolts: N/A -----  Aerobar Bolts: Top 20mm; Bottom 30mm </v>
      </c>
      <c r="K252" s="6">
        <v>1</v>
      </c>
      <c r="L252" t="s">
        <v>11</v>
      </c>
    </row>
    <row r="253" spans="3:12" x14ac:dyDescent="0.25">
      <c r="C253" s="6">
        <f>'IA - Large'!D59</f>
        <v>630</v>
      </c>
      <c r="D253" s="6" t="str">
        <f>'IA - Large'!B59</f>
        <v>Frame: 56 ----- Stem: 31.8 ----- Carbon Aerobar: + 20 + 5</v>
      </c>
      <c r="E253" s="6">
        <f t="shared" si="36"/>
        <v>0</v>
      </c>
      <c r="F253" s="6" t="str">
        <f t="shared" si="30"/>
        <v/>
      </c>
      <c r="G253" s="6" t="str">
        <f t="shared" si="33"/>
        <v/>
      </c>
      <c r="H253" s="6">
        <f t="shared" si="37"/>
        <v>-45</v>
      </c>
      <c r="I253" s="6">
        <f t="shared" si="38"/>
        <v>1</v>
      </c>
      <c r="J253" s="6" t="str">
        <f>'IA - Large'!G59</f>
        <v xml:space="preserve">Stem Bolts: N/A -----  Aerobar Bolts: Top 25mm; Bottom 30mm </v>
      </c>
      <c r="K253" s="6">
        <v>1</v>
      </c>
      <c r="L253" t="s">
        <v>11</v>
      </c>
    </row>
    <row r="254" spans="3:12" x14ac:dyDescent="0.25">
      <c r="C254" s="6">
        <f>'IA - Large'!D60</f>
        <v>630</v>
      </c>
      <c r="D254" s="6" t="str">
        <f>'IA - Large'!B60</f>
        <v>Frame: 56 ----- Stem: 31.8 ----- Carbon Aerobar: + 20 + bridge</v>
      </c>
      <c r="E254" s="6">
        <f t="shared" si="36"/>
        <v>0</v>
      </c>
      <c r="F254" s="6" t="str">
        <f t="shared" si="30"/>
        <v/>
      </c>
      <c r="G254" s="6" t="str">
        <f t="shared" si="33"/>
        <v/>
      </c>
      <c r="H254" s="6">
        <f t="shared" si="37"/>
        <v>-45</v>
      </c>
      <c r="I254" s="6">
        <f t="shared" si="38"/>
        <v>1</v>
      </c>
      <c r="J254" s="6" t="str">
        <f>'IA - Large'!G60</f>
        <v xml:space="preserve">Stem Bolts: N/A -----  Aerobar Bolts: Top 25mm; Bottom 30mm </v>
      </c>
      <c r="K254" s="6">
        <v>1</v>
      </c>
      <c r="L254" t="s">
        <v>11</v>
      </c>
    </row>
    <row r="255" spans="3:12" x14ac:dyDescent="0.25">
      <c r="C255" s="6">
        <f>'IA - Large'!D61</f>
        <v>635</v>
      </c>
      <c r="D255" s="6" t="str">
        <f>'IA - Large'!B61</f>
        <v>Frame: 56 ----- Stem: 31.8 ----- Carbon Aerobar: + 30</v>
      </c>
      <c r="E255" s="6">
        <f t="shared" si="36"/>
        <v>0</v>
      </c>
      <c r="F255" s="6">
        <f t="shared" si="30"/>
        <v>1</v>
      </c>
      <c r="G255" s="6" t="str">
        <f t="shared" si="33"/>
        <v/>
      </c>
      <c r="H255" s="6">
        <f t="shared" si="37"/>
        <v>-45</v>
      </c>
      <c r="I255" s="6">
        <f t="shared" si="38"/>
        <v>1</v>
      </c>
      <c r="J255" s="6" t="str">
        <f>'IA - Large'!G61</f>
        <v xml:space="preserve">Stem Bolts: N/A -----  Aerobar Bolts: Top 25mm; Bottom 30mm </v>
      </c>
      <c r="K255" s="6">
        <v>1</v>
      </c>
      <c r="L255" t="s">
        <v>11</v>
      </c>
    </row>
    <row r="256" spans="3:12" x14ac:dyDescent="0.25">
      <c r="C256" s="6">
        <f>'IA - Large'!D62</f>
        <v>635</v>
      </c>
      <c r="D256" s="6" t="str">
        <f>'IA - Large'!B62</f>
        <v>Frame: 56 ----- Stem: 31.8 ----- Carbon Aerobar: + 20 + bridge + 5</v>
      </c>
      <c r="E256" s="6">
        <f t="shared" si="36"/>
        <v>0</v>
      </c>
      <c r="F256" s="6" t="str">
        <f t="shared" si="30"/>
        <v/>
      </c>
      <c r="G256" s="6" t="str">
        <f t="shared" si="33"/>
        <v/>
      </c>
      <c r="H256" s="6">
        <f t="shared" si="37"/>
        <v>-45</v>
      </c>
      <c r="I256" s="6">
        <f t="shared" si="38"/>
        <v>1</v>
      </c>
      <c r="J256" s="6" t="str">
        <f>'IA - Large'!G62</f>
        <v xml:space="preserve">Stem Bolts: N/A -----  Aerobar Bolts: Top 30mm; Bottom 30mm </v>
      </c>
      <c r="K256" s="6">
        <v>1</v>
      </c>
      <c r="L256" t="s">
        <v>11</v>
      </c>
    </row>
    <row r="257" spans="3:12" x14ac:dyDescent="0.25">
      <c r="C257" s="6">
        <f>'IA - Large'!D63</f>
        <v>640</v>
      </c>
      <c r="D257" s="6" t="str">
        <f>'IA - Large'!B63</f>
        <v>Frame: 56 ----- Stem: 31.8 ----- Carbon Aerobar: + 30 + bridge</v>
      </c>
      <c r="E257" s="6">
        <f t="shared" si="36"/>
        <v>0</v>
      </c>
      <c r="F257" s="6">
        <f t="shared" si="30"/>
        <v>1</v>
      </c>
      <c r="G257" s="6" t="str">
        <f t="shared" si="33"/>
        <v/>
      </c>
      <c r="H257" s="6">
        <f t="shared" si="37"/>
        <v>-45</v>
      </c>
      <c r="I257" s="6">
        <f t="shared" si="38"/>
        <v>1</v>
      </c>
      <c r="J257" s="6" t="str">
        <f>'IA - Large'!G63</f>
        <v xml:space="preserve">Stem Bolts: N/A -----  Aerobar Bolts: Top 30mm; Bottom 30mm </v>
      </c>
      <c r="K257" s="6">
        <v>1</v>
      </c>
      <c r="L257" t="s">
        <v>11</v>
      </c>
    </row>
    <row r="258" spans="3:12" x14ac:dyDescent="0.25">
      <c r="C258" s="6">
        <f>'IA - Large'!D64</f>
        <v>645</v>
      </c>
      <c r="D258" s="6" t="str">
        <f>'IA - Large'!B64</f>
        <v>Frame: 56 ----- Stem: 31.8 ----- Carbon Aerobar: + 30 + bridge + 5</v>
      </c>
      <c r="E258" s="6">
        <f t="shared" si="36"/>
        <v>0</v>
      </c>
      <c r="F258" s="6">
        <f t="shared" si="30"/>
        <v>1</v>
      </c>
      <c r="G258" s="6" t="str">
        <f t="shared" si="33"/>
        <v/>
      </c>
      <c r="H258" s="6">
        <f t="shared" si="37"/>
        <v>-45</v>
      </c>
      <c r="I258" s="6">
        <f t="shared" si="38"/>
        <v>1</v>
      </c>
      <c r="J258" s="6" t="str">
        <f>'IA - Large'!G64</f>
        <v xml:space="preserve">Stem Bolts: N/A -----  Aerobar Bolts: Top 35mm; Bottom 30mm </v>
      </c>
      <c r="K258" s="6">
        <v>1</v>
      </c>
      <c r="L258" t="s">
        <v>11</v>
      </c>
    </row>
    <row r="259" spans="3:12" x14ac:dyDescent="0.25">
      <c r="C259" s="6">
        <f>'IA - Large'!D65</f>
        <v>650</v>
      </c>
      <c r="D259" s="6" t="str">
        <f>'IA - Large'!B65</f>
        <v>Frame: 56 ----- Stem: 31.8 ----- Carbon Aerobar: + 40 + bridge</v>
      </c>
      <c r="E259" s="6">
        <f t="shared" si="36"/>
        <v>0</v>
      </c>
      <c r="F259" s="6" t="str">
        <f t="shared" si="30"/>
        <v/>
      </c>
      <c r="G259" s="6">
        <f t="shared" si="33"/>
        <v>1</v>
      </c>
      <c r="H259" s="6">
        <f t="shared" si="37"/>
        <v>-45</v>
      </c>
      <c r="I259" s="6">
        <f t="shared" si="38"/>
        <v>1</v>
      </c>
      <c r="J259" s="6" t="str">
        <f>'IA - Large'!G65</f>
        <v xml:space="preserve">Stem Bolts: N/A -----  Aerobar Bolts: Top 35mm; Bottom 30mm </v>
      </c>
      <c r="K259" s="6">
        <v>1</v>
      </c>
      <c r="L259" t="s">
        <v>11</v>
      </c>
    </row>
    <row r="260" spans="3:12" x14ac:dyDescent="0.25">
      <c r="C260" s="6">
        <f>'IA - Large'!D66</f>
        <v>655</v>
      </c>
      <c r="D260" s="6" t="str">
        <f>'IA - Large'!B66</f>
        <v>Frame: 56 ----- Stem: 31.8 ----- Carbon Aerobar: + 40 + bridge + 5</v>
      </c>
      <c r="E260" s="6">
        <f t="shared" si="36"/>
        <v>0</v>
      </c>
      <c r="F260" s="6" t="str">
        <f t="shared" si="30"/>
        <v/>
      </c>
      <c r="G260" s="6">
        <f t="shared" si="33"/>
        <v>1</v>
      </c>
      <c r="H260" s="6">
        <f t="shared" si="37"/>
        <v>-45</v>
      </c>
      <c r="I260" s="6">
        <f t="shared" si="38"/>
        <v>1</v>
      </c>
      <c r="J260" s="6" t="str">
        <f>'IA - Large'!G66</f>
        <v xml:space="preserve">Stem Bolts: N/A -----  Aerobar Bolts: Top 35mm; Bottom 30mm </v>
      </c>
      <c r="K260" s="6">
        <v>1</v>
      </c>
      <c r="L260" t="s">
        <v>11</v>
      </c>
    </row>
    <row r="261" spans="3:12" x14ac:dyDescent="0.25">
      <c r="C261" s="6">
        <f>'IA - Large'!D67</f>
        <v>660</v>
      </c>
      <c r="D261" s="6" t="str">
        <f>'IA - Large'!B67</f>
        <v>Frame: 56 ----- Stem: 31.8 ----- Carbon Aerobar: + 40 + bridge + 10</v>
      </c>
      <c r="E261" s="6">
        <f t="shared" si="36"/>
        <v>0</v>
      </c>
      <c r="F261" s="6" t="str">
        <f t="shared" si="30"/>
        <v/>
      </c>
      <c r="G261" s="6">
        <f t="shared" si="33"/>
        <v>1</v>
      </c>
      <c r="H261" s="6">
        <f t="shared" si="37"/>
        <v>-45</v>
      </c>
      <c r="I261" s="6">
        <f t="shared" si="38"/>
        <v>1</v>
      </c>
      <c r="J261" s="6" t="str">
        <f>'IA - Large'!G67</f>
        <v xml:space="preserve">Stem Bolts: N/A -----  Aerobar Bolts: Top 40mm; Bottom 30mm </v>
      </c>
      <c r="K261" s="6">
        <v>1</v>
      </c>
      <c r="L261" t="s">
        <v>11</v>
      </c>
    </row>
    <row r="262" spans="3:12" x14ac:dyDescent="0.25">
      <c r="C262" s="6">
        <f>'IA - Large'!D68</f>
        <v>665</v>
      </c>
      <c r="D262" s="6" t="str">
        <f>'IA - Large'!B68</f>
        <v>Frame: 56 ----- Stem: 31.8 ----- Carbon Aerobar: + 40 + bridge + 10 + 5</v>
      </c>
      <c r="E262" s="6">
        <f t="shared" si="36"/>
        <v>0</v>
      </c>
      <c r="F262" s="6" t="str">
        <f t="shared" si="30"/>
        <v/>
      </c>
      <c r="G262" s="6">
        <f t="shared" si="33"/>
        <v>1</v>
      </c>
      <c r="H262" s="6">
        <f t="shared" si="37"/>
        <v>-45</v>
      </c>
      <c r="I262" s="6">
        <f t="shared" si="38"/>
        <v>1</v>
      </c>
      <c r="J262" s="6" t="str">
        <f>'IA - Large'!G68</f>
        <v xml:space="preserve">Stem Bolts: N/A -----  Aerobar Bolts: Top 45mm; Bottom 30mm </v>
      </c>
      <c r="K262" s="6">
        <v>1</v>
      </c>
      <c r="L262" t="s">
        <v>11</v>
      </c>
    </row>
    <row r="263" spans="3:12" x14ac:dyDescent="0.25">
      <c r="C263">
        <f>'IA - Medium'!D54</f>
        <v>0</v>
      </c>
      <c r="D263" t="str">
        <f>'IA - Medium'!B54</f>
        <v xml:space="preserve">Frame: 54 ----- Stem: 31.8 ----- Carbon Aerobar: </v>
      </c>
      <c r="E263">
        <f t="shared" ref="E263:E277" si="39">$W$14*$X$14</f>
        <v>1</v>
      </c>
      <c r="F263" t="str">
        <f t="shared" si="30"/>
        <v/>
      </c>
      <c r="G263" t="str">
        <f t="shared" si="33"/>
        <v/>
      </c>
      <c r="H263">
        <f t="shared" ref="H263:H277" si="40">$E$4-$V$22</f>
        <v>-25</v>
      </c>
      <c r="I263">
        <f t="shared" ref="I263:I277" si="41">$AC$7</f>
        <v>1</v>
      </c>
      <c r="J263" t="str">
        <f>'IA - Medium'!G54</f>
        <v xml:space="preserve">Stem Bolts: N/A -----  Aerobar Bolts: Top N/A; Bottom N/A </v>
      </c>
      <c r="K263" s="6">
        <v>1</v>
      </c>
      <c r="L263" t="s">
        <v>11</v>
      </c>
    </row>
    <row r="264" spans="3:12" x14ac:dyDescent="0.25">
      <c r="C264">
        <f>'IA - Medium'!D55</f>
        <v>585</v>
      </c>
      <c r="D264" t="str">
        <f>'IA - Medium'!B55</f>
        <v>Frame: 54 ----- Stem: 31.8 ----- Carbon Aerobar: + 5</v>
      </c>
      <c r="E264">
        <f t="shared" si="39"/>
        <v>1</v>
      </c>
      <c r="F264" t="str">
        <f t="shared" si="30"/>
        <v/>
      </c>
      <c r="G264" t="str">
        <f t="shared" si="33"/>
        <v/>
      </c>
      <c r="H264">
        <f t="shared" si="40"/>
        <v>-25</v>
      </c>
      <c r="I264">
        <f t="shared" si="41"/>
        <v>1</v>
      </c>
      <c r="J264" t="str">
        <f>'IA - Medium'!G55</f>
        <v xml:space="preserve">Stem Bolts: N/A -----  Aerobar Bolts: Top 45mm; Bottom N/A </v>
      </c>
      <c r="K264" s="6">
        <v>1</v>
      </c>
      <c r="L264" t="s">
        <v>11</v>
      </c>
    </row>
    <row r="265" spans="3:12" x14ac:dyDescent="0.25">
      <c r="C265">
        <f>'IA - Medium'!D56</f>
        <v>590</v>
      </c>
      <c r="D265" t="str">
        <f>'IA - Medium'!B56</f>
        <v>Frame: 54 ----- Stem: 31.8 ----- Carbon Aerobar: + 10</v>
      </c>
      <c r="E265">
        <f t="shared" si="39"/>
        <v>1</v>
      </c>
      <c r="F265" t="str">
        <f t="shared" ref="F265:F328" si="42">IF(ISNUMBER(FIND("30",D265)),1,"")</f>
        <v/>
      </c>
      <c r="G265" t="str">
        <f t="shared" si="33"/>
        <v/>
      </c>
      <c r="H265">
        <f t="shared" si="40"/>
        <v>-25</v>
      </c>
      <c r="I265">
        <f t="shared" si="41"/>
        <v>1</v>
      </c>
      <c r="J265" t="str">
        <f>'IA - Medium'!G56</f>
        <v xml:space="preserve">Stem Bolts: N/A -----  Aerobar Bolts: Top 50mm; Bottom N/A </v>
      </c>
      <c r="K265" s="6">
        <v>1</v>
      </c>
      <c r="L265" t="s">
        <v>11</v>
      </c>
    </row>
    <row r="266" spans="3:12" x14ac:dyDescent="0.25">
      <c r="C266">
        <f>'IA - Medium'!D57</f>
        <v>595</v>
      </c>
      <c r="D266" t="str">
        <f>'IA - Medium'!B57</f>
        <v>Frame: 54 ----- Stem: 31.8 ----- Carbon Aerobar: + 5 + 10</v>
      </c>
      <c r="E266">
        <f t="shared" si="39"/>
        <v>1</v>
      </c>
      <c r="F266" t="str">
        <f t="shared" si="42"/>
        <v/>
      </c>
      <c r="G266" t="str">
        <f t="shared" si="33"/>
        <v/>
      </c>
      <c r="H266">
        <f t="shared" si="40"/>
        <v>-25</v>
      </c>
      <c r="I266">
        <f t="shared" si="41"/>
        <v>1</v>
      </c>
      <c r="J266" t="str">
        <f>'IA - Medium'!G57</f>
        <v xml:space="preserve">Stem Bolts: N/A -----  Aerobar Bolts: Top 55mm; Bottom N/A </v>
      </c>
      <c r="K266" s="6">
        <v>1</v>
      </c>
      <c r="L266" t="s">
        <v>11</v>
      </c>
    </row>
    <row r="267" spans="3:12" x14ac:dyDescent="0.25">
      <c r="C267">
        <f>'IA - Medium'!D58</f>
        <v>600</v>
      </c>
      <c r="D267" t="str">
        <f>'IA - Medium'!B58</f>
        <v>Frame: 54 ----- Stem: 31.8 ----- Carbon Aerobar: + 20</v>
      </c>
      <c r="E267">
        <f t="shared" si="39"/>
        <v>1</v>
      </c>
      <c r="F267" t="str">
        <f t="shared" si="42"/>
        <v/>
      </c>
      <c r="G267" t="str">
        <f t="shared" si="33"/>
        <v/>
      </c>
      <c r="H267">
        <f t="shared" si="40"/>
        <v>-25</v>
      </c>
      <c r="I267">
        <f t="shared" si="41"/>
        <v>1</v>
      </c>
      <c r="J267" t="str">
        <f>'IA - Medium'!G58</f>
        <v xml:space="preserve">Stem Bolts: N/A -----  Aerobar Bolts: Top 20mm; Bottom 30mm </v>
      </c>
      <c r="K267" s="6">
        <v>1</v>
      </c>
      <c r="L267" t="s">
        <v>11</v>
      </c>
    </row>
    <row r="268" spans="3:12" x14ac:dyDescent="0.25">
      <c r="C268">
        <f>'IA - Medium'!D59</f>
        <v>605</v>
      </c>
      <c r="D268" t="str">
        <f>'IA - Medium'!B59</f>
        <v>Frame: 54 ----- Stem: 31.8 ----- Carbon Aerobar: + 20 + 5</v>
      </c>
      <c r="E268">
        <f t="shared" si="39"/>
        <v>1</v>
      </c>
      <c r="F268" t="str">
        <f t="shared" si="42"/>
        <v/>
      </c>
      <c r="G268" t="str">
        <f t="shared" si="33"/>
        <v/>
      </c>
      <c r="H268">
        <f t="shared" si="40"/>
        <v>-25</v>
      </c>
      <c r="I268">
        <f t="shared" si="41"/>
        <v>1</v>
      </c>
      <c r="J268" t="str">
        <f>'IA - Medium'!G59</f>
        <v xml:space="preserve">Stem Bolts: N/A -----  Aerobar Bolts: Top 25mm; Bottom 30mm </v>
      </c>
      <c r="K268" s="6">
        <v>1</v>
      </c>
      <c r="L268" t="s">
        <v>11</v>
      </c>
    </row>
    <row r="269" spans="3:12" x14ac:dyDescent="0.25">
      <c r="C269">
        <f>'IA - Medium'!D60</f>
        <v>605</v>
      </c>
      <c r="D269" t="str">
        <f>'IA - Medium'!B60</f>
        <v>Frame: 54 ----- Stem: 31.8 ----- Carbon Aerobar: + 20 + bridge</v>
      </c>
      <c r="E269">
        <f t="shared" si="39"/>
        <v>1</v>
      </c>
      <c r="F269" t="str">
        <f t="shared" si="42"/>
        <v/>
      </c>
      <c r="G269" t="str">
        <f t="shared" si="33"/>
        <v/>
      </c>
      <c r="H269">
        <f t="shared" si="40"/>
        <v>-25</v>
      </c>
      <c r="I269">
        <f t="shared" si="41"/>
        <v>1</v>
      </c>
      <c r="J269" t="str">
        <f>'IA - Medium'!G60</f>
        <v xml:space="preserve">Stem Bolts: N/A -----  Aerobar Bolts: Top 25mm; Bottom 30mm </v>
      </c>
      <c r="K269" s="6">
        <v>1</v>
      </c>
      <c r="L269" t="s">
        <v>11</v>
      </c>
    </row>
    <row r="270" spans="3:12" x14ac:dyDescent="0.25">
      <c r="C270">
        <f>'IA - Medium'!D61</f>
        <v>610</v>
      </c>
      <c r="D270" t="str">
        <f>'IA - Medium'!B61</f>
        <v>Frame: 54 ----- Stem: 31.8 ----- Carbon Aerobar: + 30</v>
      </c>
      <c r="E270">
        <f t="shared" si="39"/>
        <v>1</v>
      </c>
      <c r="F270">
        <f t="shared" si="42"/>
        <v>1</v>
      </c>
      <c r="G270" t="str">
        <f t="shared" si="33"/>
        <v/>
      </c>
      <c r="H270">
        <f t="shared" si="40"/>
        <v>-25</v>
      </c>
      <c r="I270">
        <f t="shared" si="41"/>
        <v>1</v>
      </c>
      <c r="J270" t="str">
        <f>'IA - Medium'!G61</f>
        <v xml:space="preserve">Stem Bolts: N/A -----  Aerobar Bolts: Top 25mm; Bottom 30mm </v>
      </c>
      <c r="K270" s="6">
        <v>1</v>
      </c>
      <c r="L270" t="s">
        <v>11</v>
      </c>
    </row>
    <row r="271" spans="3:12" x14ac:dyDescent="0.25">
      <c r="C271">
        <f>'IA - Medium'!D62</f>
        <v>610</v>
      </c>
      <c r="D271" t="str">
        <f>'IA - Medium'!B62</f>
        <v>Frame: 54 ----- Stem: 31.8 ----- Carbon Aerobar: + 20 + bridge + 5</v>
      </c>
      <c r="E271">
        <f t="shared" si="39"/>
        <v>1</v>
      </c>
      <c r="F271" t="str">
        <f t="shared" si="42"/>
        <v/>
      </c>
      <c r="G271" t="str">
        <f t="shared" si="33"/>
        <v/>
      </c>
      <c r="H271">
        <f t="shared" si="40"/>
        <v>-25</v>
      </c>
      <c r="I271">
        <f t="shared" si="41"/>
        <v>1</v>
      </c>
      <c r="J271" t="str">
        <f>'IA - Medium'!G62</f>
        <v xml:space="preserve">Stem Bolts: N/A -----  Aerobar Bolts: Top 30mm; Bottom 30mm </v>
      </c>
      <c r="K271" s="6">
        <v>1</v>
      </c>
      <c r="L271" t="s">
        <v>11</v>
      </c>
    </row>
    <row r="272" spans="3:12" x14ac:dyDescent="0.25">
      <c r="C272">
        <f>'IA - Medium'!D63</f>
        <v>615</v>
      </c>
      <c r="D272" t="str">
        <f>'IA - Medium'!B63</f>
        <v>Frame: 54 ----- Stem: 31.8 ----- Carbon Aerobar: + 30 + bridge</v>
      </c>
      <c r="E272">
        <f t="shared" si="39"/>
        <v>1</v>
      </c>
      <c r="F272">
        <f t="shared" si="42"/>
        <v>1</v>
      </c>
      <c r="G272" t="str">
        <f t="shared" si="33"/>
        <v/>
      </c>
      <c r="H272">
        <f t="shared" si="40"/>
        <v>-25</v>
      </c>
      <c r="I272">
        <f t="shared" si="41"/>
        <v>1</v>
      </c>
      <c r="J272" t="str">
        <f>'IA - Medium'!G63</f>
        <v xml:space="preserve">Stem Bolts: N/A -----  Aerobar Bolts: Top 30mm; Bottom 30mm </v>
      </c>
      <c r="K272" s="6">
        <v>1</v>
      </c>
      <c r="L272" t="s">
        <v>11</v>
      </c>
    </row>
    <row r="273" spans="3:12" x14ac:dyDescent="0.25">
      <c r="C273">
        <f>'IA - Medium'!D64</f>
        <v>620</v>
      </c>
      <c r="D273" t="str">
        <f>'IA - Medium'!B64</f>
        <v>Frame: 54 ----- Stem: 31.8 ----- Carbon Aerobar: + 30 + bridge + 5</v>
      </c>
      <c r="E273">
        <f t="shared" si="39"/>
        <v>1</v>
      </c>
      <c r="F273">
        <f t="shared" si="42"/>
        <v>1</v>
      </c>
      <c r="G273" t="str">
        <f t="shared" si="33"/>
        <v/>
      </c>
      <c r="H273">
        <f t="shared" si="40"/>
        <v>-25</v>
      </c>
      <c r="I273">
        <f t="shared" si="41"/>
        <v>1</v>
      </c>
      <c r="J273" t="str">
        <f>'IA - Medium'!G64</f>
        <v xml:space="preserve">Stem Bolts: N/A -----  Aerobar Bolts: Top 35mm; Bottom 30mm </v>
      </c>
      <c r="K273" s="6">
        <v>1</v>
      </c>
      <c r="L273" t="s">
        <v>11</v>
      </c>
    </row>
    <row r="274" spans="3:12" x14ac:dyDescent="0.25">
      <c r="C274">
        <f>'IA - Medium'!D65</f>
        <v>625</v>
      </c>
      <c r="D274" t="str">
        <f>'IA - Medium'!B65</f>
        <v>Frame: 54 ----- Stem: 31.8 ----- Carbon Aerobar: + 40 + bridge</v>
      </c>
      <c r="E274">
        <f t="shared" si="39"/>
        <v>1</v>
      </c>
      <c r="F274" t="str">
        <f t="shared" si="42"/>
        <v/>
      </c>
      <c r="G274">
        <f t="shared" si="33"/>
        <v>1</v>
      </c>
      <c r="H274">
        <f t="shared" si="40"/>
        <v>-25</v>
      </c>
      <c r="I274">
        <f t="shared" si="41"/>
        <v>1</v>
      </c>
      <c r="J274" t="str">
        <f>'IA - Medium'!G65</f>
        <v xml:space="preserve">Stem Bolts: N/A -----  Aerobar Bolts: Top 35mm; Bottom 30mm </v>
      </c>
      <c r="K274" s="6">
        <v>1</v>
      </c>
      <c r="L274" t="s">
        <v>11</v>
      </c>
    </row>
    <row r="275" spans="3:12" x14ac:dyDescent="0.25">
      <c r="C275">
        <f>'IA - Medium'!D66</f>
        <v>630</v>
      </c>
      <c r="D275" t="str">
        <f>'IA - Medium'!B66</f>
        <v>Frame: 54 ----- Stem: 31.8 ----- Carbon Aerobar: + 40 + bridge + 5</v>
      </c>
      <c r="E275">
        <f t="shared" si="39"/>
        <v>1</v>
      </c>
      <c r="F275" t="str">
        <f t="shared" si="42"/>
        <v/>
      </c>
      <c r="G275">
        <f t="shared" si="33"/>
        <v>1</v>
      </c>
      <c r="H275">
        <f t="shared" si="40"/>
        <v>-25</v>
      </c>
      <c r="I275">
        <f t="shared" si="41"/>
        <v>1</v>
      </c>
      <c r="J275" t="str">
        <f>'IA - Medium'!G66</f>
        <v xml:space="preserve">Stem Bolts: N/A -----  Aerobar Bolts: Top 35mm; Bottom 30mm </v>
      </c>
      <c r="K275" s="6">
        <v>1</v>
      </c>
      <c r="L275" t="s">
        <v>11</v>
      </c>
    </row>
    <row r="276" spans="3:12" x14ac:dyDescent="0.25">
      <c r="C276">
        <f>'IA - Medium'!D67</f>
        <v>635</v>
      </c>
      <c r="D276" t="str">
        <f>'IA - Medium'!B67</f>
        <v>Frame: 54 ----- Stem: 31.8 ----- Carbon Aerobar: + 40 + bridge + 10</v>
      </c>
      <c r="E276">
        <f t="shared" si="39"/>
        <v>1</v>
      </c>
      <c r="F276" t="str">
        <f t="shared" si="42"/>
        <v/>
      </c>
      <c r="G276">
        <f t="shared" si="33"/>
        <v>1</v>
      </c>
      <c r="H276">
        <f t="shared" si="40"/>
        <v>-25</v>
      </c>
      <c r="I276">
        <f t="shared" si="41"/>
        <v>1</v>
      </c>
      <c r="J276" t="str">
        <f>'IA - Medium'!G67</f>
        <v xml:space="preserve">Stem Bolts: N/A -----  Aerobar Bolts: Top 40mm; Bottom 30mm </v>
      </c>
      <c r="K276" s="6">
        <v>1</v>
      </c>
      <c r="L276" t="s">
        <v>11</v>
      </c>
    </row>
    <row r="277" spans="3:12" x14ac:dyDescent="0.25">
      <c r="C277">
        <f>'IA - Medium'!D68</f>
        <v>640</v>
      </c>
      <c r="D277" t="str">
        <f>'IA - Medium'!B68</f>
        <v>Frame: 54 ----- Stem: 31.8 ----- Carbon Aerobar: + 40 + bridge + 10 + 5</v>
      </c>
      <c r="E277">
        <f t="shared" si="39"/>
        <v>1</v>
      </c>
      <c r="F277" t="str">
        <f t="shared" si="42"/>
        <v/>
      </c>
      <c r="G277">
        <f t="shared" si="33"/>
        <v>1</v>
      </c>
      <c r="H277">
        <f t="shared" si="40"/>
        <v>-25</v>
      </c>
      <c r="I277">
        <f t="shared" si="41"/>
        <v>1</v>
      </c>
      <c r="J277" t="str">
        <f>'IA - Medium'!G68</f>
        <v xml:space="preserve">Stem Bolts: N/A -----  Aerobar Bolts: Top 45mm; Bottom 30mm </v>
      </c>
      <c r="K277" s="6">
        <v>1</v>
      </c>
      <c r="L277" t="s">
        <v>11</v>
      </c>
    </row>
    <row r="278" spans="3:12" x14ac:dyDescent="0.25">
      <c r="C278" s="6">
        <f>'IA - Small'!D54</f>
        <v>0</v>
      </c>
      <c r="D278" s="6" t="str">
        <f>'IA - Small'!B54</f>
        <v xml:space="preserve">Frame: 51 ----- Stem: 31.8 ----- Carbon Aerobar: </v>
      </c>
      <c r="E278" s="6">
        <f t="shared" ref="E278:E292" si="43">$W$13*$X$13</f>
        <v>1</v>
      </c>
      <c r="F278" s="6" t="str">
        <f t="shared" si="42"/>
        <v/>
      </c>
      <c r="G278" s="6" t="str">
        <f t="shared" si="33"/>
        <v/>
      </c>
      <c r="H278" s="6">
        <f t="shared" ref="H278:H292" si="44">$E$4-$V$21</f>
        <v>-9</v>
      </c>
      <c r="I278" s="6">
        <f t="shared" ref="I278:I292" si="45">$AC$6</f>
        <v>1</v>
      </c>
      <c r="J278" s="6" t="str">
        <f>'IA - Small'!G54</f>
        <v xml:space="preserve">Stem Bolts: N/A -----  Aerobar Bolts: Top N/A; Bottom N/A </v>
      </c>
      <c r="K278" s="6">
        <v>1</v>
      </c>
      <c r="L278" t="s">
        <v>11</v>
      </c>
    </row>
    <row r="279" spans="3:12" x14ac:dyDescent="0.25">
      <c r="C279" s="6">
        <f>'IA - Small'!D55</f>
        <v>565</v>
      </c>
      <c r="D279" s="6" t="str">
        <f>'IA - Small'!B55</f>
        <v>Frame: 51 ----- Stem: 31.8 ----- Carbon Aerobar: + 5</v>
      </c>
      <c r="E279" s="6">
        <f t="shared" si="43"/>
        <v>1</v>
      </c>
      <c r="F279" s="6" t="str">
        <f t="shared" si="42"/>
        <v/>
      </c>
      <c r="G279" s="6" t="str">
        <f t="shared" si="33"/>
        <v/>
      </c>
      <c r="H279" s="6">
        <f t="shared" si="44"/>
        <v>-9</v>
      </c>
      <c r="I279" s="6">
        <f t="shared" si="45"/>
        <v>1</v>
      </c>
      <c r="J279" s="6" t="str">
        <f>'IA - Small'!G55</f>
        <v xml:space="preserve">Stem Bolts: N/A -----  Aerobar Bolts: Top 45mm; Bottom N/A </v>
      </c>
      <c r="K279" s="6">
        <v>1</v>
      </c>
      <c r="L279" t="s">
        <v>11</v>
      </c>
    </row>
    <row r="280" spans="3:12" x14ac:dyDescent="0.25">
      <c r="C280" s="6">
        <f>'IA - Small'!D56</f>
        <v>570</v>
      </c>
      <c r="D280" s="6" t="str">
        <f>'IA - Small'!B56</f>
        <v>Frame: 51 ----- Stem: 31.8 ----- Carbon Aerobar: + 10</v>
      </c>
      <c r="E280" s="6">
        <f t="shared" si="43"/>
        <v>1</v>
      </c>
      <c r="F280" s="6" t="str">
        <f t="shared" si="42"/>
        <v/>
      </c>
      <c r="G280" s="6" t="str">
        <f t="shared" si="33"/>
        <v/>
      </c>
      <c r="H280" s="6">
        <f t="shared" si="44"/>
        <v>-9</v>
      </c>
      <c r="I280" s="6">
        <f t="shared" si="45"/>
        <v>1</v>
      </c>
      <c r="J280" s="6" t="str">
        <f>'IA - Small'!G56</f>
        <v xml:space="preserve">Stem Bolts: N/A -----  Aerobar Bolts: Top 50mm; Bottom N/A </v>
      </c>
      <c r="K280" s="6">
        <v>1</v>
      </c>
      <c r="L280" t="s">
        <v>11</v>
      </c>
    </row>
    <row r="281" spans="3:12" x14ac:dyDescent="0.25">
      <c r="C281" s="6">
        <f>'IA - Small'!D57</f>
        <v>575</v>
      </c>
      <c r="D281" s="6" t="str">
        <f>'IA - Small'!B57</f>
        <v>Frame: 51 ----- Stem: 31.8 ----- Carbon Aerobar: + 5 + 10</v>
      </c>
      <c r="E281" s="6">
        <f t="shared" si="43"/>
        <v>1</v>
      </c>
      <c r="F281" s="6" t="str">
        <f t="shared" si="42"/>
        <v/>
      </c>
      <c r="G281" s="6" t="str">
        <f t="shared" si="33"/>
        <v/>
      </c>
      <c r="H281" s="6">
        <f t="shared" si="44"/>
        <v>-9</v>
      </c>
      <c r="I281" s="6">
        <f t="shared" si="45"/>
        <v>1</v>
      </c>
      <c r="J281" s="6" t="str">
        <f>'IA - Small'!G57</f>
        <v xml:space="preserve">Stem Bolts: N/A -----  Aerobar Bolts: Top 55mm; Bottom N/A </v>
      </c>
      <c r="K281" s="6">
        <v>1</v>
      </c>
      <c r="L281" t="s">
        <v>11</v>
      </c>
    </row>
    <row r="282" spans="3:12" x14ac:dyDescent="0.25">
      <c r="C282" s="6">
        <f>'IA - Small'!D58</f>
        <v>580</v>
      </c>
      <c r="D282" s="6" t="str">
        <f>'IA - Small'!B58</f>
        <v>Frame: 51 ----- Stem: 31.8 ----- Carbon Aerobar: + 20</v>
      </c>
      <c r="E282" s="6">
        <f t="shared" si="43"/>
        <v>1</v>
      </c>
      <c r="F282" s="6" t="str">
        <f t="shared" si="42"/>
        <v/>
      </c>
      <c r="G282" s="6" t="str">
        <f t="shared" si="33"/>
        <v/>
      </c>
      <c r="H282" s="6">
        <f t="shared" si="44"/>
        <v>-9</v>
      </c>
      <c r="I282" s="6">
        <f t="shared" si="45"/>
        <v>1</v>
      </c>
      <c r="J282" s="6" t="str">
        <f>'IA - Small'!G58</f>
        <v xml:space="preserve">Stem Bolts: N/A -----  Aerobar Bolts: Top 20mm; Bottom 30mm </v>
      </c>
      <c r="K282" s="6">
        <v>1</v>
      </c>
      <c r="L282" t="s">
        <v>11</v>
      </c>
    </row>
    <row r="283" spans="3:12" x14ac:dyDescent="0.25">
      <c r="C283" s="6">
        <f>'IA - Small'!D59</f>
        <v>585</v>
      </c>
      <c r="D283" s="6" t="str">
        <f>'IA - Small'!B59</f>
        <v>Frame: 51 ----- Stem: 31.8 ----- Carbon Aerobar: + 20 + 5</v>
      </c>
      <c r="E283" s="6">
        <f t="shared" si="43"/>
        <v>1</v>
      </c>
      <c r="F283" s="6" t="str">
        <f t="shared" si="42"/>
        <v/>
      </c>
      <c r="G283" s="6" t="str">
        <f t="shared" si="33"/>
        <v/>
      </c>
      <c r="H283" s="6">
        <f t="shared" si="44"/>
        <v>-9</v>
      </c>
      <c r="I283" s="6">
        <f t="shared" si="45"/>
        <v>1</v>
      </c>
      <c r="J283" s="6" t="str">
        <f>'IA - Small'!G59</f>
        <v xml:space="preserve">Stem Bolts: N/A -----  Aerobar Bolts: Top 25mm; Bottom 30mm </v>
      </c>
      <c r="K283" s="6">
        <v>1</v>
      </c>
      <c r="L283" t="s">
        <v>11</v>
      </c>
    </row>
    <row r="284" spans="3:12" x14ac:dyDescent="0.25">
      <c r="C284" s="6">
        <f>'IA - Small'!D60</f>
        <v>585</v>
      </c>
      <c r="D284" s="6" t="str">
        <f>'IA - Small'!B60</f>
        <v>Frame: 51 ----- Stem: 31.8 ----- Carbon Aerobar: + 20 + bridge</v>
      </c>
      <c r="E284" s="6">
        <f t="shared" si="43"/>
        <v>1</v>
      </c>
      <c r="F284" s="6" t="str">
        <f t="shared" si="42"/>
        <v/>
      </c>
      <c r="G284" s="6" t="str">
        <f t="shared" si="33"/>
        <v/>
      </c>
      <c r="H284" s="6">
        <f t="shared" si="44"/>
        <v>-9</v>
      </c>
      <c r="I284" s="6">
        <f t="shared" si="45"/>
        <v>1</v>
      </c>
      <c r="J284" s="6" t="str">
        <f>'IA - Small'!G60</f>
        <v xml:space="preserve">Stem Bolts: N/A -----  Aerobar Bolts: Top 25mm; Bottom 30mm </v>
      </c>
      <c r="K284" s="6">
        <v>1</v>
      </c>
      <c r="L284" t="s">
        <v>11</v>
      </c>
    </row>
    <row r="285" spans="3:12" x14ac:dyDescent="0.25">
      <c r="C285" s="6">
        <f>'IA - Small'!D61</f>
        <v>590</v>
      </c>
      <c r="D285" s="6" t="str">
        <f>'IA - Small'!B61</f>
        <v>Frame: 51 ----- Stem: 31.8 ----- Carbon Aerobar: + 30</v>
      </c>
      <c r="E285" s="6">
        <f t="shared" si="43"/>
        <v>1</v>
      </c>
      <c r="F285" s="6">
        <f t="shared" si="42"/>
        <v>1</v>
      </c>
      <c r="G285" s="6" t="str">
        <f t="shared" si="33"/>
        <v/>
      </c>
      <c r="H285" s="6">
        <f t="shared" si="44"/>
        <v>-9</v>
      </c>
      <c r="I285" s="6">
        <f t="shared" si="45"/>
        <v>1</v>
      </c>
      <c r="J285" s="6" t="str">
        <f>'IA - Small'!G61</f>
        <v xml:space="preserve">Stem Bolts: N/A -----  Aerobar Bolts: Top 25mm; Bottom 30mm </v>
      </c>
      <c r="K285" s="6">
        <v>1</v>
      </c>
      <c r="L285" t="s">
        <v>11</v>
      </c>
    </row>
    <row r="286" spans="3:12" x14ac:dyDescent="0.25">
      <c r="C286" s="6">
        <f>'IA - Small'!D62</f>
        <v>590</v>
      </c>
      <c r="D286" s="6" t="str">
        <f>'IA - Small'!B62</f>
        <v>Frame: 51 ----- Stem: 31.8 ----- Carbon Aerobar: + 20 + bridge + 5</v>
      </c>
      <c r="E286" s="6">
        <f t="shared" si="43"/>
        <v>1</v>
      </c>
      <c r="F286" s="6" t="str">
        <f t="shared" si="42"/>
        <v/>
      </c>
      <c r="G286" s="6" t="str">
        <f t="shared" si="33"/>
        <v/>
      </c>
      <c r="H286" s="6">
        <f t="shared" si="44"/>
        <v>-9</v>
      </c>
      <c r="I286" s="6">
        <f t="shared" si="45"/>
        <v>1</v>
      </c>
      <c r="J286" s="6" t="str">
        <f>'IA - Small'!G62</f>
        <v xml:space="preserve">Stem Bolts: N/A -----  Aerobar Bolts: Top 30mm; Bottom 30mm </v>
      </c>
      <c r="K286" s="6">
        <v>1</v>
      </c>
      <c r="L286" t="s">
        <v>11</v>
      </c>
    </row>
    <row r="287" spans="3:12" x14ac:dyDescent="0.25">
      <c r="C287" s="6">
        <f>'IA - Small'!D63</f>
        <v>595</v>
      </c>
      <c r="D287" s="6" t="str">
        <f>'IA - Small'!B63</f>
        <v>Frame: 51 ----- Stem: 31.8 ----- Carbon Aerobar: + 30 + bridge</v>
      </c>
      <c r="E287" s="6">
        <f t="shared" si="43"/>
        <v>1</v>
      </c>
      <c r="F287" s="6">
        <f t="shared" si="42"/>
        <v>1</v>
      </c>
      <c r="G287" s="6" t="str">
        <f t="shared" si="33"/>
        <v/>
      </c>
      <c r="H287" s="6">
        <f t="shared" si="44"/>
        <v>-9</v>
      </c>
      <c r="I287" s="6">
        <f t="shared" si="45"/>
        <v>1</v>
      </c>
      <c r="J287" s="6" t="str">
        <f>'IA - Small'!G63</f>
        <v xml:space="preserve">Stem Bolts: N/A -----  Aerobar Bolts: Top 30mm; Bottom 30mm </v>
      </c>
      <c r="K287" s="6">
        <v>1</v>
      </c>
      <c r="L287" t="s">
        <v>11</v>
      </c>
    </row>
    <row r="288" spans="3:12" x14ac:dyDescent="0.25">
      <c r="C288" s="6">
        <f>'IA - Small'!D64</f>
        <v>600</v>
      </c>
      <c r="D288" s="6" t="str">
        <f>'IA - Small'!B64</f>
        <v>Frame: 51 ----- Stem: 31.8 ----- Carbon Aerobar: + 30 + bridge + 5</v>
      </c>
      <c r="E288" s="6">
        <f t="shared" si="43"/>
        <v>1</v>
      </c>
      <c r="F288" s="6">
        <f t="shared" si="42"/>
        <v>1</v>
      </c>
      <c r="G288" s="6" t="str">
        <f t="shared" si="33"/>
        <v/>
      </c>
      <c r="H288" s="6">
        <f t="shared" si="44"/>
        <v>-9</v>
      </c>
      <c r="I288" s="6">
        <f t="shared" si="45"/>
        <v>1</v>
      </c>
      <c r="J288" s="6" t="str">
        <f>'IA - Small'!G64</f>
        <v xml:space="preserve">Stem Bolts: N/A -----  Aerobar Bolts: Top 35mm; Bottom 30mm </v>
      </c>
      <c r="K288" s="6">
        <v>1</v>
      </c>
      <c r="L288" t="s">
        <v>11</v>
      </c>
    </row>
    <row r="289" spans="3:12" x14ac:dyDescent="0.25">
      <c r="C289" s="6">
        <f>'IA - Small'!D65</f>
        <v>605</v>
      </c>
      <c r="D289" s="6" t="str">
        <f>'IA - Small'!B65</f>
        <v>Frame: 51 ----- Stem: 31.8 ----- Carbon Aerobar: + 40 + bridge</v>
      </c>
      <c r="E289" s="6">
        <f t="shared" si="43"/>
        <v>1</v>
      </c>
      <c r="F289" s="6" t="str">
        <f t="shared" si="42"/>
        <v/>
      </c>
      <c r="G289" s="6">
        <f t="shared" si="33"/>
        <v>1</v>
      </c>
      <c r="H289" s="6">
        <f t="shared" si="44"/>
        <v>-9</v>
      </c>
      <c r="I289" s="6">
        <f t="shared" si="45"/>
        <v>1</v>
      </c>
      <c r="J289" s="6" t="str">
        <f>'IA - Small'!G65</f>
        <v xml:space="preserve">Stem Bolts: N/A -----  Aerobar Bolts: Top 35mm; Bottom 30mm </v>
      </c>
      <c r="K289" s="6">
        <v>1</v>
      </c>
      <c r="L289" t="s">
        <v>11</v>
      </c>
    </row>
    <row r="290" spans="3:12" x14ac:dyDescent="0.25">
      <c r="C290" s="6">
        <f>'IA - Small'!D66</f>
        <v>610</v>
      </c>
      <c r="D290" s="6" t="str">
        <f>'IA - Small'!B66</f>
        <v>Frame: 51 ----- Stem: 31.8 ----- Carbon Aerobar: + 40 + bridge + 5</v>
      </c>
      <c r="E290" s="6">
        <f t="shared" si="43"/>
        <v>1</v>
      </c>
      <c r="F290" s="6" t="str">
        <f t="shared" si="42"/>
        <v/>
      </c>
      <c r="G290" s="6">
        <f t="shared" si="33"/>
        <v>1</v>
      </c>
      <c r="H290" s="6">
        <f t="shared" si="44"/>
        <v>-9</v>
      </c>
      <c r="I290" s="6">
        <f t="shared" si="45"/>
        <v>1</v>
      </c>
      <c r="J290" s="6" t="str">
        <f>'IA - Small'!G66</f>
        <v xml:space="preserve">Stem Bolts: N/A -----  Aerobar Bolts: Top 35mm; Bottom 30mm </v>
      </c>
      <c r="K290" s="6">
        <v>1</v>
      </c>
      <c r="L290" t="s">
        <v>11</v>
      </c>
    </row>
    <row r="291" spans="3:12" x14ac:dyDescent="0.25">
      <c r="C291" s="6">
        <f>'IA - Small'!D67</f>
        <v>615</v>
      </c>
      <c r="D291" s="6" t="str">
        <f>'IA - Small'!B67</f>
        <v>Frame: 51 ----- Stem: 31.8 ----- Carbon Aerobar: + 40 + bridge + 10</v>
      </c>
      <c r="E291" s="6">
        <f t="shared" si="43"/>
        <v>1</v>
      </c>
      <c r="F291" s="6" t="str">
        <f t="shared" si="42"/>
        <v/>
      </c>
      <c r="G291" s="6">
        <f t="shared" si="33"/>
        <v>1</v>
      </c>
      <c r="H291" s="6">
        <f t="shared" si="44"/>
        <v>-9</v>
      </c>
      <c r="I291" s="6">
        <f t="shared" si="45"/>
        <v>1</v>
      </c>
      <c r="J291" s="6" t="str">
        <f>'IA - Small'!G67</f>
        <v xml:space="preserve">Stem Bolts: N/A -----  Aerobar Bolts: Top 40mm; Bottom 30mm </v>
      </c>
      <c r="K291" s="6">
        <v>1</v>
      </c>
      <c r="L291" t="s">
        <v>11</v>
      </c>
    </row>
    <row r="292" spans="3:12" x14ac:dyDescent="0.25">
      <c r="C292" s="6">
        <f>'IA - Small'!D68</f>
        <v>620</v>
      </c>
      <c r="D292" s="6" t="str">
        <f>'IA - Small'!B68</f>
        <v>Frame: 51 ----- Stem: 31.8 ----- Carbon Aerobar: + 40 + bridge + 10 + 5</v>
      </c>
      <c r="E292" s="6">
        <f t="shared" si="43"/>
        <v>1</v>
      </c>
      <c r="F292" s="6" t="str">
        <f t="shared" si="42"/>
        <v/>
      </c>
      <c r="G292" s="6">
        <f t="shared" si="33"/>
        <v>1</v>
      </c>
      <c r="H292" s="6">
        <f t="shared" si="44"/>
        <v>-9</v>
      </c>
      <c r="I292" s="6">
        <f t="shared" si="45"/>
        <v>1</v>
      </c>
      <c r="J292" s="6" t="str">
        <f>'IA - Small'!G68</f>
        <v xml:space="preserve">Stem Bolts: N/A -----  Aerobar Bolts: Top 45mm; Bottom 30mm </v>
      </c>
      <c r="K292" s="6">
        <v>1</v>
      </c>
      <c r="L292" t="s">
        <v>11</v>
      </c>
    </row>
    <row r="293" spans="3:12" x14ac:dyDescent="0.25">
      <c r="C293">
        <f>'IA - XS'!D54</f>
        <v>0</v>
      </c>
      <c r="D293" t="str">
        <f>'IA - XS'!B54</f>
        <v xml:space="preserve">Frame: 48 ----- Stem: 31.8 ----- Carbon Aerobar: </v>
      </c>
      <c r="E293">
        <f t="shared" ref="E293:E307" si="46">$W$12*$X$12</f>
        <v>1</v>
      </c>
      <c r="F293" t="str">
        <f t="shared" si="42"/>
        <v/>
      </c>
      <c r="G293" t="str">
        <f t="shared" si="33"/>
        <v/>
      </c>
      <c r="H293">
        <f t="shared" ref="H293:H307" si="47">$E$4-$V$20</f>
        <v>-1</v>
      </c>
      <c r="I293">
        <f t="shared" ref="I293:I307" si="48">$AC$5</f>
        <v>1</v>
      </c>
      <c r="J293" t="str">
        <f>'IA - XS'!G54</f>
        <v xml:space="preserve">Stem Bolts: N/A -----  Aerobar Bolts: Top N/A; Bottom N/A </v>
      </c>
      <c r="K293" s="6">
        <v>1</v>
      </c>
      <c r="L293" t="s">
        <v>11</v>
      </c>
    </row>
    <row r="294" spans="3:12" x14ac:dyDescent="0.25">
      <c r="C294">
        <f>'IA - XS'!D55</f>
        <v>540</v>
      </c>
      <c r="D294" t="str">
        <f>'IA - XS'!B55</f>
        <v>Frame: 48 ----- Stem: 31.8 ----- Carbon Aerobar: + 5</v>
      </c>
      <c r="E294">
        <f t="shared" si="46"/>
        <v>1</v>
      </c>
      <c r="F294" t="str">
        <f t="shared" si="42"/>
        <v/>
      </c>
      <c r="G294" t="str">
        <f t="shared" si="33"/>
        <v/>
      </c>
      <c r="H294">
        <f t="shared" si="47"/>
        <v>-1</v>
      </c>
      <c r="I294">
        <f t="shared" si="48"/>
        <v>1</v>
      </c>
      <c r="J294" t="str">
        <f>'IA - XS'!G55</f>
        <v xml:space="preserve">Stem Bolts: N/A -----  Aerobar Bolts: Top 45mm; Bottom N/A </v>
      </c>
      <c r="K294" s="6">
        <v>1</v>
      </c>
      <c r="L294" t="s">
        <v>11</v>
      </c>
    </row>
    <row r="295" spans="3:12" x14ac:dyDescent="0.25">
      <c r="C295">
        <f>'IA - XS'!D56</f>
        <v>545</v>
      </c>
      <c r="D295" t="str">
        <f>'IA - XS'!B56</f>
        <v>Frame: 48 ----- Stem: 31.8 ----- Carbon Aerobar: + 10</v>
      </c>
      <c r="E295">
        <f t="shared" si="46"/>
        <v>1</v>
      </c>
      <c r="F295" t="str">
        <f t="shared" si="42"/>
        <v/>
      </c>
      <c r="G295" t="str">
        <f t="shared" si="33"/>
        <v/>
      </c>
      <c r="H295">
        <f t="shared" si="47"/>
        <v>-1</v>
      </c>
      <c r="I295">
        <f t="shared" si="48"/>
        <v>1</v>
      </c>
      <c r="J295" t="str">
        <f>'IA - XS'!G56</f>
        <v xml:space="preserve">Stem Bolts: N/A -----  Aerobar Bolts: Top 50mm; Bottom N/A </v>
      </c>
      <c r="K295" s="6">
        <v>1</v>
      </c>
      <c r="L295" t="s">
        <v>11</v>
      </c>
    </row>
    <row r="296" spans="3:12" x14ac:dyDescent="0.25">
      <c r="C296">
        <f>'IA - XS'!D57</f>
        <v>550</v>
      </c>
      <c r="D296" t="str">
        <f>'IA - XS'!B57</f>
        <v>Frame: 48 ----- Stem: 31.8 ----- Carbon Aerobar: + 5 + 10</v>
      </c>
      <c r="E296">
        <f t="shared" si="46"/>
        <v>1</v>
      </c>
      <c r="F296" t="str">
        <f t="shared" si="42"/>
        <v/>
      </c>
      <c r="G296" t="str">
        <f t="shared" si="33"/>
        <v/>
      </c>
      <c r="H296">
        <f t="shared" si="47"/>
        <v>-1</v>
      </c>
      <c r="I296">
        <f t="shared" si="48"/>
        <v>1</v>
      </c>
      <c r="J296" t="str">
        <f>'IA - XS'!G57</f>
        <v xml:space="preserve">Stem Bolts: N/A -----  Aerobar Bolts: Top 55mm; Bottom N/A </v>
      </c>
      <c r="K296" s="6">
        <v>1</v>
      </c>
      <c r="L296" t="s">
        <v>11</v>
      </c>
    </row>
    <row r="297" spans="3:12" x14ac:dyDescent="0.25">
      <c r="C297">
        <f>'IA - XS'!D58</f>
        <v>555</v>
      </c>
      <c r="D297" t="str">
        <f>'IA - XS'!B58</f>
        <v>Frame: 48 ----- Stem: 31.8 ----- Carbon Aerobar: + 20</v>
      </c>
      <c r="E297">
        <f t="shared" si="46"/>
        <v>1</v>
      </c>
      <c r="F297" t="str">
        <f t="shared" si="42"/>
        <v/>
      </c>
      <c r="G297" t="str">
        <f t="shared" ref="G297:G360" si="49">IF(ISNUMBER(FIND("40",D297)),1,"")</f>
        <v/>
      </c>
      <c r="H297">
        <f t="shared" si="47"/>
        <v>-1</v>
      </c>
      <c r="I297">
        <f t="shared" si="48"/>
        <v>1</v>
      </c>
      <c r="J297" t="str">
        <f>'IA - XS'!G58</f>
        <v xml:space="preserve">Stem Bolts: N/A -----  Aerobar Bolts: Top 20mm; Bottom 30mm </v>
      </c>
      <c r="K297" s="6">
        <v>1</v>
      </c>
      <c r="L297" t="s">
        <v>11</v>
      </c>
    </row>
    <row r="298" spans="3:12" x14ac:dyDescent="0.25">
      <c r="C298">
        <f>'IA - XS'!D59</f>
        <v>560</v>
      </c>
      <c r="D298" t="str">
        <f>'IA - XS'!B59</f>
        <v>Frame: 48 ----- Stem: 31.8 ----- Carbon Aerobar: + 20 + 5</v>
      </c>
      <c r="E298">
        <f t="shared" si="46"/>
        <v>1</v>
      </c>
      <c r="F298" t="str">
        <f t="shared" si="42"/>
        <v/>
      </c>
      <c r="G298" t="str">
        <f t="shared" si="49"/>
        <v/>
      </c>
      <c r="H298">
        <f t="shared" si="47"/>
        <v>-1</v>
      </c>
      <c r="I298">
        <f t="shared" si="48"/>
        <v>1</v>
      </c>
      <c r="J298" t="str">
        <f>'IA - XS'!G59</f>
        <v xml:space="preserve">Stem Bolts: N/A -----  Aerobar Bolts: Top 25mm; Bottom 30mm </v>
      </c>
      <c r="K298" s="6">
        <v>1</v>
      </c>
      <c r="L298" t="s">
        <v>11</v>
      </c>
    </row>
    <row r="299" spans="3:12" x14ac:dyDescent="0.25">
      <c r="C299">
        <f>'IA - XS'!D60</f>
        <v>560</v>
      </c>
      <c r="D299" t="str">
        <f>'IA - XS'!B60</f>
        <v>Frame: 48 ----- Stem: 31.8 ----- Carbon Aerobar: + 20 + bridge</v>
      </c>
      <c r="E299">
        <f t="shared" si="46"/>
        <v>1</v>
      </c>
      <c r="F299" t="str">
        <f t="shared" si="42"/>
        <v/>
      </c>
      <c r="G299" t="str">
        <f t="shared" si="49"/>
        <v/>
      </c>
      <c r="H299">
        <f t="shared" si="47"/>
        <v>-1</v>
      </c>
      <c r="I299">
        <f t="shared" si="48"/>
        <v>1</v>
      </c>
      <c r="J299" t="str">
        <f>'IA - XS'!G60</f>
        <v xml:space="preserve">Stem Bolts: N/A -----  Aerobar Bolts: Top 25mm; Bottom 30mm </v>
      </c>
      <c r="K299" s="6">
        <v>1</v>
      </c>
      <c r="L299" t="s">
        <v>11</v>
      </c>
    </row>
    <row r="300" spans="3:12" x14ac:dyDescent="0.25">
      <c r="C300">
        <f>'IA - XS'!D61</f>
        <v>565</v>
      </c>
      <c r="D300" t="str">
        <f>'IA - XS'!B61</f>
        <v>Frame: 48 ----- Stem: 31.8 ----- Carbon Aerobar: + 30</v>
      </c>
      <c r="E300">
        <f t="shared" si="46"/>
        <v>1</v>
      </c>
      <c r="F300">
        <f t="shared" si="42"/>
        <v>1</v>
      </c>
      <c r="G300" t="str">
        <f t="shared" si="49"/>
        <v/>
      </c>
      <c r="H300">
        <f t="shared" si="47"/>
        <v>-1</v>
      </c>
      <c r="I300">
        <f t="shared" si="48"/>
        <v>1</v>
      </c>
      <c r="J300" t="str">
        <f>'IA - XS'!G61</f>
        <v xml:space="preserve">Stem Bolts: N/A -----  Aerobar Bolts: Top 25mm; Bottom 30mm </v>
      </c>
      <c r="K300" s="6">
        <v>1</v>
      </c>
      <c r="L300" t="s">
        <v>11</v>
      </c>
    </row>
    <row r="301" spans="3:12" x14ac:dyDescent="0.25">
      <c r="C301">
        <f>'IA - XS'!D62</f>
        <v>565</v>
      </c>
      <c r="D301" t="str">
        <f>'IA - XS'!B62</f>
        <v>Frame: 48 ----- Stem: 31.8 ----- Carbon Aerobar: + 20 + bridge + 5</v>
      </c>
      <c r="E301">
        <f t="shared" si="46"/>
        <v>1</v>
      </c>
      <c r="F301" t="str">
        <f t="shared" si="42"/>
        <v/>
      </c>
      <c r="G301" t="str">
        <f t="shared" si="49"/>
        <v/>
      </c>
      <c r="H301">
        <f t="shared" si="47"/>
        <v>-1</v>
      </c>
      <c r="I301">
        <f t="shared" si="48"/>
        <v>1</v>
      </c>
      <c r="J301" t="str">
        <f>'IA - XS'!G62</f>
        <v xml:space="preserve">Stem Bolts: N/A -----  Aerobar Bolts: Top 30mm; Bottom 30mm </v>
      </c>
      <c r="K301" s="6">
        <v>1</v>
      </c>
      <c r="L301" t="s">
        <v>11</v>
      </c>
    </row>
    <row r="302" spans="3:12" x14ac:dyDescent="0.25">
      <c r="C302">
        <f>'IA - XS'!D63</f>
        <v>570</v>
      </c>
      <c r="D302" t="str">
        <f>'IA - XS'!B63</f>
        <v>Frame: 48 ----- Stem: 31.8 ----- Carbon Aerobar: + 30 + bridge</v>
      </c>
      <c r="E302">
        <f t="shared" si="46"/>
        <v>1</v>
      </c>
      <c r="F302">
        <f t="shared" si="42"/>
        <v>1</v>
      </c>
      <c r="G302" t="str">
        <f t="shared" si="49"/>
        <v/>
      </c>
      <c r="H302">
        <f t="shared" si="47"/>
        <v>-1</v>
      </c>
      <c r="I302">
        <f t="shared" si="48"/>
        <v>1</v>
      </c>
      <c r="J302" t="str">
        <f>'IA - XS'!G63</f>
        <v xml:space="preserve">Stem Bolts: N/A -----  Aerobar Bolts: Top 30mm; Bottom 30mm </v>
      </c>
      <c r="K302" s="6">
        <v>1</v>
      </c>
      <c r="L302" t="s">
        <v>11</v>
      </c>
    </row>
    <row r="303" spans="3:12" x14ac:dyDescent="0.25">
      <c r="C303">
        <f>'IA - XS'!D64</f>
        <v>575</v>
      </c>
      <c r="D303" t="str">
        <f>'IA - XS'!B64</f>
        <v>Frame: 48 ----- Stem: 31.8 ----- Carbon Aerobar: + 30 + bridge + 5</v>
      </c>
      <c r="E303">
        <f t="shared" si="46"/>
        <v>1</v>
      </c>
      <c r="F303">
        <f t="shared" si="42"/>
        <v>1</v>
      </c>
      <c r="G303" t="str">
        <f t="shared" si="49"/>
        <v/>
      </c>
      <c r="H303">
        <f t="shared" si="47"/>
        <v>-1</v>
      </c>
      <c r="I303">
        <f t="shared" si="48"/>
        <v>1</v>
      </c>
      <c r="J303" t="str">
        <f>'IA - XS'!G64</f>
        <v xml:space="preserve">Stem Bolts: N/A -----  Aerobar Bolts: Top 35mm; Bottom 30mm </v>
      </c>
      <c r="K303" s="6">
        <v>1</v>
      </c>
      <c r="L303" t="s">
        <v>11</v>
      </c>
    </row>
    <row r="304" spans="3:12" x14ac:dyDescent="0.25">
      <c r="C304">
        <f>'IA - XS'!D65</f>
        <v>580</v>
      </c>
      <c r="D304" t="str">
        <f>'IA - XS'!B65</f>
        <v>Frame: 48 ----- Stem: 31.8 ----- Carbon Aerobar: + 40 + bridge</v>
      </c>
      <c r="E304">
        <f t="shared" si="46"/>
        <v>1</v>
      </c>
      <c r="F304" t="str">
        <f t="shared" si="42"/>
        <v/>
      </c>
      <c r="G304">
        <f t="shared" si="49"/>
        <v>1</v>
      </c>
      <c r="H304">
        <f t="shared" si="47"/>
        <v>-1</v>
      </c>
      <c r="I304">
        <f t="shared" si="48"/>
        <v>1</v>
      </c>
      <c r="J304" t="str">
        <f>'IA - XS'!G65</f>
        <v xml:space="preserve">Stem Bolts: N/A -----  Aerobar Bolts: Top 35mm; Bottom 30mm </v>
      </c>
      <c r="K304" s="6">
        <v>1</v>
      </c>
      <c r="L304" t="s">
        <v>11</v>
      </c>
    </row>
    <row r="305" spans="3:12" x14ac:dyDescent="0.25">
      <c r="C305">
        <f>'IA - XS'!D66</f>
        <v>585</v>
      </c>
      <c r="D305" t="str">
        <f>'IA - XS'!B66</f>
        <v>Frame: 48 ----- Stem: 31.8 ----- Carbon Aerobar: + 40 + bridge + 5</v>
      </c>
      <c r="E305">
        <f t="shared" si="46"/>
        <v>1</v>
      </c>
      <c r="F305" t="str">
        <f t="shared" si="42"/>
        <v/>
      </c>
      <c r="G305">
        <f t="shared" si="49"/>
        <v>1</v>
      </c>
      <c r="H305">
        <f t="shared" si="47"/>
        <v>-1</v>
      </c>
      <c r="I305">
        <f t="shared" si="48"/>
        <v>1</v>
      </c>
      <c r="J305" t="str">
        <f>'IA - XS'!G66</f>
        <v xml:space="preserve">Stem Bolts: N/A -----  Aerobar Bolts: Top 35mm; Bottom 30mm </v>
      </c>
      <c r="K305" s="6">
        <v>1</v>
      </c>
      <c r="L305" t="s">
        <v>11</v>
      </c>
    </row>
    <row r="306" spans="3:12" x14ac:dyDescent="0.25">
      <c r="C306">
        <f>'IA - XS'!D67</f>
        <v>590</v>
      </c>
      <c r="D306" t="str">
        <f>'IA - XS'!B67</f>
        <v>Frame: 48 ----- Stem: 31.8 ----- Carbon Aerobar: + 40 + bridge + 10</v>
      </c>
      <c r="E306">
        <f t="shared" si="46"/>
        <v>1</v>
      </c>
      <c r="F306" t="str">
        <f t="shared" si="42"/>
        <v/>
      </c>
      <c r="G306">
        <f t="shared" si="49"/>
        <v>1</v>
      </c>
      <c r="H306">
        <f t="shared" si="47"/>
        <v>-1</v>
      </c>
      <c r="I306">
        <f t="shared" si="48"/>
        <v>1</v>
      </c>
      <c r="J306" t="str">
        <f>'IA - XS'!G67</f>
        <v xml:space="preserve">Stem Bolts: N/A -----  Aerobar Bolts: Top 40mm; Bottom 30mm </v>
      </c>
      <c r="K306" s="6">
        <v>1</v>
      </c>
      <c r="L306" t="s">
        <v>11</v>
      </c>
    </row>
    <row r="307" spans="3:12" x14ac:dyDescent="0.25">
      <c r="C307">
        <f>'IA - XS'!D68</f>
        <v>595</v>
      </c>
      <c r="D307" t="str">
        <f>'IA - XS'!B68</f>
        <v>Frame: 48 ----- Stem: 31.8 ----- Carbon Aerobar: + 40 + bridge + 10 + 5</v>
      </c>
      <c r="E307">
        <f t="shared" si="46"/>
        <v>1</v>
      </c>
      <c r="F307" t="str">
        <f t="shared" si="42"/>
        <v/>
      </c>
      <c r="G307">
        <f t="shared" si="49"/>
        <v>1</v>
      </c>
      <c r="H307">
        <f t="shared" si="47"/>
        <v>-1</v>
      </c>
      <c r="I307">
        <f t="shared" si="48"/>
        <v>1</v>
      </c>
      <c r="J307" t="str">
        <f>'IA - XS'!G68</f>
        <v xml:space="preserve">Stem Bolts: N/A -----  Aerobar Bolts: Top 45mm; Bottom 30mm </v>
      </c>
      <c r="K307" s="6">
        <v>1</v>
      </c>
      <c r="L307" t="s">
        <v>11</v>
      </c>
    </row>
    <row r="308" spans="3:12" x14ac:dyDescent="0.25">
      <c r="C308" s="6">
        <f>'IA - XL'!D69</f>
        <v>645</v>
      </c>
      <c r="D308" s="6" t="str">
        <f>'IA - XL'!B69</f>
        <v xml:space="preserve">Frame: 58 ----- Stem: 31.8 ----- Alloy Aerobar: </v>
      </c>
      <c r="E308" s="6">
        <f>E233</f>
        <v>0</v>
      </c>
      <c r="F308" s="6" t="str">
        <f t="shared" si="42"/>
        <v/>
      </c>
      <c r="G308" s="6" t="str">
        <f t="shared" si="49"/>
        <v/>
      </c>
      <c r="H308" s="6">
        <f t="shared" ref="H308:H322" si="50">$E$4-$W$24</f>
        <v>-65</v>
      </c>
      <c r="I308" s="6">
        <f t="shared" ref="I308:I322" si="51">$AC$9</f>
        <v>1</v>
      </c>
      <c r="J308" s="6" t="str">
        <f>'IA - XL'!G69</f>
        <v xml:space="preserve">Stem Bolts: N/A -----  Aerobar Bolts: Top 20mm; Bottom N/A </v>
      </c>
      <c r="K308" s="6">
        <v>1</v>
      </c>
    </row>
    <row r="309" spans="3:12" x14ac:dyDescent="0.25">
      <c r="C309" s="6">
        <f>'IA - XL'!D70</f>
        <v>650</v>
      </c>
      <c r="D309" s="6" t="str">
        <f>'IA - XL'!B70</f>
        <v>Frame: 58 ----- Stem: 31.8 ----- Alloy Aerobar: + 5</v>
      </c>
      <c r="E309" s="6">
        <f t="shared" ref="E309:E372" si="52">E234</f>
        <v>0</v>
      </c>
      <c r="F309" s="6" t="str">
        <f t="shared" si="42"/>
        <v/>
      </c>
      <c r="G309" s="6" t="str">
        <f t="shared" si="49"/>
        <v/>
      </c>
      <c r="H309" s="6">
        <f t="shared" si="50"/>
        <v>-65</v>
      </c>
      <c r="I309" s="6">
        <f t="shared" si="51"/>
        <v>1</v>
      </c>
      <c r="J309" s="6" t="str">
        <f>'IA - XL'!G70</f>
        <v xml:space="preserve">Stem Bolts: N/A -----  Aerobar Bolts: Top 25mm; Bottom N/A </v>
      </c>
      <c r="K309" s="6">
        <v>1</v>
      </c>
    </row>
    <row r="310" spans="3:12" x14ac:dyDescent="0.25">
      <c r="C310" s="6">
        <f>'IA - XL'!D71</f>
        <v>655</v>
      </c>
      <c r="D310" s="6" t="str">
        <f>'IA - XL'!B71</f>
        <v>Frame: 58 ----- Stem: 31.8 ----- Alloy Aerobar: + 10</v>
      </c>
      <c r="E310" s="6">
        <f t="shared" si="52"/>
        <v>0</v>
      </c>
      <c r="F310" s="6" t="str">
        <f t="shared" si="42"/>
        <v/>
      </c>
      <c r="G310" s="6" t="str">
        <f t="shared" si="49"/>
        <v/>
      </c>
      <c r="H310" s="6">
        <f t="shared" si="50"/>
        <v>-65</v>
      </c>
      <c r="I310" s="6">
        <f t="shared" si="51"/>
        <v>1</v>
      </c>
      <c r="J310" s="6" t="str">
        <f>'IA - XL'!G71</f>
        <v xml:space="preserve">Stem Bolts: N/A -----  Aerobar Bolts: Top 30mm; Bottom N/A </v>
      </c>
      <c r="K310" s="6">
        <v>1</v>
      </c>
    </row>
    <row r="311" spans="3:12" x14ac:dyDescent="0.25">
      <c r="C311" s="6">
        <f>'IA - XL'!D72</f>
        <v>660</v>
      </c>
      <c r="D311" s="6" t="str">
        <f>'IA - XL'!B72</f>
        <v>Frame: 58 ----- Stem: 31.8 ----- Alloy Aerobar: + 5 + 10</v>
      </c>
      <c r="E311" s="6">
        <f t="shared" si="52"/>
        <v>0</v>
      </c>
      <c r="F311" s="6" t="str">
        <f t="shared" si="42"/>
        <v/>
      </c>
      <c r="G311" s="6" t="str">
        <f t="shared" si="49"/>
        <v/>
      </c>
      <c r="H311" s="6">
        <f t="shared" si="50"/>
        <v>-65</v>
      </c>
      <c r="I311" s="6">
        <f t="shared" si="51"/>
        <v>1</v>
      </c>
      <c r="J311" s="6" t="str">
        <f>'IA - XL'!G72</f>
        <v xml:space="preserve">Stem Bolts: N/A -----  Aerobar Bolts: Top 35mm; Bottom N/A </v>
      </c>
      <c r="K311" s="6">
        <v>1</v>
      </c>
    </row>
    <row r="312" spans="3:12" x14ac:dyDescent="0.25">
      <c r="C312" s="6">
        <f>'IA - XL'!D73</f>
        <v>665</v>
      </c>
      <c r="D312" s="6" t="str">
        <f>'IA - XL'!B73</f>
        <v>Frame: 58 ----- Stem: 31.8 ----- Alloy Aerobar: + 20</v>
      </c>
      <c r="E312" s="6">
        <f t="shared" si="52"/>
        <v>0</v>
      </c>
      <c r="F312" s="6" t="str">
        <f t="shared" si="42"/>
        <v/>
      </c>
      <c r="G312" s="6" t="str">
        <f t="shared" si="49"/>
        <v/>
      </c>
      <c r="H312" s="6">
        <f t="shared" si="50"/>
        <v>-65</v>
      </c>
      <c r="I312" s="6">
        <f t="shared" si="51"/>
        <v>1</v>
      </c>
      <c r="J312" s="6" t="str">
        <f>'IA - XL'!G73</f>
        <v xml:space="preserve">Stem Bolts: N/A -----  Aerobar Bolts: Top 20mm; Bottom 15mm </v>
      </c>
      <c r="K312" s="6">
        <v>1</v>
      </c>
    </row>
    <row r="313" spans="3:12" x14ac:dyDescent="0.25">
      <c r="C313" s="6">
        <f>'IA - XL'!D74</f>
        <v>670</v>
      </c>
      <c r="D313" s="6" t="str">
        <f>'IA - XL'!B74</f>
        <v xml:space="preserve">Frame: 58 ----- Stem: 31.8 ----- Alloy Aerobar: + 20 + 5 </v>
      </c>
      <c r="E313" s="6">
        <f t="shared" si="52"/>
        <v>0</v>
      </c>
      <c r="F313" s="6" t="str">
        <f t="shared" si="42"/>
        <v/>
      </c>
      <c r="G313" s="6" t="str">
        <f t="shared" si="49"/>
        <v/>
      </c>
      <c r="H313" s="6">
        <f t="shared" si="50"/>
        <v>-65</v>
      </c>
      <c r="I313" s="6">
        <f t="shared" si="51"/>
        <v>1</v>
      </c>
      <c r="J313" s="6" t="str">
        <f>'IA - XL'!G74</f>
        <v xml:space="preserve">Stem Bolts: N/A -----  Aerobar Bolts: Top 25mm; Bottom 15mm </v>
      </c>
      <c r="K313" s="6">
        <v>1</v>
      </c>
    </row>
    <row r="314" spans="3:12" x14ac:dyDescent="0.25">
      <c r="C314" s="6">
        <f>'IA - XL'!D75</f>
        <v>670</v>
      </c>
      <c r="D314" s="6" t="str">
        <f>'IA - XL'!B75</f>
        <v>Frame: 58 ----- Stem: 31.8 ----- Alloy Aerobar: + 20 + bridge</v>
      </c>
      <c r="E314" s="6">
        <f t="shared" si="52"/>
        <v>0</v>
      </c>
      <c r="F314" s="6" t="str">
        <f t="shared" si="42"/>
        <v/>
      </c>
      <c r="G314" s="6" t="str">
        <f t="shared" si="49"/>
        <v/>
      </c>
      <c r="H314" s="6">
        <f t="shared" si="50"/>
        <v>-65</v>
      </c>
      <c r="I314" s="6">
        <f t="shared" si="51"/>
        <v>1</v>
      </c>
      <c r="J314" s="6" t="str">
        <f>'IA - XL'!G75</f>
        <v xml:space="preserve">Stem Bolts: N/A -----  Aerobar Bolts: Top 25mm; Bottom 15mm </v>
      </c>
      <c r="K314" s="6">
        <v>1</v>
      </c>
    </row>
    <row r="315" spans="3:12" x14ac:dyDescent="0.25">
      <c r="C315" s="6">
        <f>'IA - XL'!D76</f>
        <v>675</v>
      </c>
      <c r="D315" s="6" t="str">
        <f>'IA - XL'!B76</f>
        <v>Frame: 58 ----- Stem: 31.8 ----- Alloy Aerobar: + 20 + bridge + 5</v>
      </c>
      <c r="E315" s="6">
        <f t="shared" si="52"/>
        <v>0</v>
      </c>
      <c r="F315" s="6" t="str">
        <f t="shared" si="42"/>
        <v/>
      </c>
      <c r="G315" s="6" t="str">
        <f t="shared" si="49"/>
        <v/>
      </c>
      <c r="H315" s="6">
        <f t="shared" si="50"/>
        <v>-65</v>
      </c>
      <c r="I315" s="6">
        <f t="shared" si="51"/>
        <v>1</v>
      </c>
      <c r="J315" s="6" t="str">
        <f>'IA - XL'!G76</f>
        <v xml:space="preserve">Stem Bolts: N/A -----  Aerobar Bolts: Top 25mm; Bottom 15mm </v>
      </c>
      <c r="K315" s="6">
        <v>1</v>
      </c>
    </row>
    <row r="316" spans="3:12" x14ac:dyDescent="0.25">
      <c r="C316" s="6">
        <f>'IA - XL'!D77</f>
        <v>675</v>
      </c>
      <c r="D316" s="6" t="str">
        <f>'IA - XL'!B77</f>
        <v>Frame: 58 ----- Stem: 31.8 ----- Alloy Aerobar: + 30</v>
      </c>
      <c r="E316" s="6">
        <f t="shared" si="52"/>
        <v>0</v>
      </c>
      <c r="F316" s="6">
        <f t="shared" si="42"/>
        <v>1</v>
      </c>
      <c r="G316" s="6" t="str">
        <f t="shared" si="49"/>
        <v/>
      </c>
      <c r="H316" s="6">
        <f t="shared" si="50"/>
        <v>-65</v>
      </c>
      <c r="I316" s="6">
        <f t="shared" si="51"/>
        <v>1</v>
      </c>
      <c r="J316" s="6" t="str">
        <f>'IA - XL'!G77</f>
        <v xml:space="preserve">Stem Bolts: N/A -----  Aerobar Bolts: Top 25mm; Bottom 15mm </v>
      </c>
      <c r="K316" s="6">
        <v>1</v>
      </c>
    </row>
    <row r="317" spans="3:12" x14ac:dyDescent="0.25">
      <c r="C317" s="6">
        <f>'IA - XL'!D78</f>
        <v>680</v>
      </c>
      <c r="D317" s="6" t="str">
        <f>'IA - XL'!B78</f>
        <v>Frame: 58 ----- Stem: 31.8 ----- Alloy Aerobar: + 30 + bridge</v>
      </c>
      <c r="E317" s="6">
        <f t="shared" si="52"/>
        <v>0</v>
      </c>
      <c r="F317" s="6">
        <f t="shared" si="42"/>
        <v>1</v>
      </c>
      <c r="G317" s="6" t="str">
        <f t="shared" si="49"/>
        <v/>
      </c>
      <c r="H317" s="6">
        <f t="shared" si="50"/>
        <v>-65</v>
      </c>
      <c r="I317" s="6">
        <f t="shared" si="51"/>
        <v>1</v>
      </c>
      <c r="J317" s="6" t="str">
        <f>'IA - XL'!G78</f>
        <v xml:space="preserve">Stem Bolts: N/A -----  Aerobar Bolts: Top 30mm; Bottom 15mm </v>
      </c>
      <c r="K317" s="6">
        <v>1</v>
      </c>
    </row>
    <row r="318" spans="3:12" x14ac:dyDescent="0.25">
      <c r="C318" s="6">
        <f>'IA - XL'!D79</f>
        <v>685</v>
      </c>
      <c r="D318" s="6" t="str">
        <f>'IA - XL'!B79</f>
        <v>Frame: 58 ----- Stem: 31.8 ----- Alloy Aerobar: + 30 + bridge + 5</v>
      </c>
      <c r="E318" s="6">
        <f t="shared" si="52"/>
        <v>0</v>
      </c>
      <c r="F318" s="6">
        <f t="shared" si="42"/>
        <v>1</v>
      </c>
      <c r="G318" s="6" t="str">
        <f t="shared" si="49"/>
        <v/>
      </c>
      <c r="H318" s="6">
        <f t="shared" si="50"/>
        <v>-65</v>
      </c>
      <c r="I318" s="6">
        <f t="shared" si="51"/>
        <v>1</v>
      </c>
      <c r="J318" s="6" t="str">
        <f>'IA - XL'!G79</f>
        <v xml:space="preserve">Stem Bolts: N/A -----  Aerobar Bolts: Top 30mm; Bottom 15mm </v>
      </c>
      <c r="K318" s="6">
        <v>1</v>
      </c>
    </row>
    <row r="319" spans="3:12" x14ac:dyDescent="0.25">
      <c r="C319" s="6">
        <f>'IA - XL'!D80</f>
        <v>690</v>
      </c>
      <c r="D319" s="6" t="str">
        <f>'IA - XL'!B80</f>
        <v>Frame: 58 ----- Stem: 31.8 ----- Alloy Aerobar: + 40 + bridge</v>
      </c>
      <c r="E319" s="6">
        <f t="shared" si="52"/>
        <v>0</v>
      </c>
      <c r="F319" s="6" t="str">
        <f t="shared" si="42"/>
        <v/>
      </c>
      <c r="G319" s="6">
        <f t="shared" si="49"/>
        <v>1</v>
      </c>
      <c r="H319" s="6">
        <f t="shared" si="50"/>
        <v>-65</v>
      </c>
      <c r="I319" s="6">
        <f t="shared" si="51"/>
        <v>1</v>
      </c>
      <c r="J319" s="6" t="str">
        <f>'IA - XL'!G80</f>
        <v xml:space="preserve">Stem Bolts: N/A -----  Aerobar Bolts: Top 35mm; Bottom 15mm </v>
      </c>
      <c r="K319" s="6">
        <v>1</v>
      </c>
    </row>
    <row r="320" spans="3:12" x14ac:dyDescent="0.25">
      <c r="C320" s="6">
        <f>'IA - XL'!D81</f>
        <v>695</v>
      </c>
      <c r="D320" s="6" t="str">
        <f>'IA - XL'!B81</f>
        <v>Frame: 58 ----- Stem: 31.8 ----- Alloy Aerobar: + 40 + bridge + 5</v>
      </c>
      <c r="E320" s="6">
        <f t="shared" si="52"/>
        <v>0</v>
      </c>
      <c r="F320" s="6" t="str">
        <f t="shared" si="42"/>
        <v/>
      </c>
      <c r="G320" s="6">
        <f t="shared" si="49"/>
        <v>1</v>
      </c>
      <c r="H320" s="6">
        <f t="shared" si="50"/>
        <v>-65</v>
      </c>
      <c r="I320" s="6">
        <f t="shared" si="51"/>
        <v>1</v>
      </c>
      <c r="J320" s="6" t="str">
        <f>'IA - XL'!G81</f>
        <v xml:space="preserve">Stem Bolts: N/A -----  Aerobar Bolts: Top 35mm; Bottom 15mm </v>
      </c>
      <c r="K320" s="6">
        <v>1</v>
      </c>
    </row>
    <row r="321" spans="3:11" x14ac:dyDescent="0.25">
      <c r="C321" s="6">
        <f>'IA - XL'!D82</f>
        <v>700</v>
      </c>
      <c r="D321" s="6" t="str">
        <f>'IA - XL'!B82</f>
        <v>Frame: 58 ----- Stem: 31.8 ----- Alloy Aerobar: + 40 + bridge + 10</v>
      </c>
      <c r="E321" s="6">
        <f t="shared" si="52"/>
        <v>0</v>
      </c>
      <c r="F321" s="6" t="str">
        <f t="shared" si="42"/>
        <v/>
      </c>
      <c r="G321" s="6">
        <f t="shared" si="49"/>
        <v>1</v>
      </c>
      <c r="H321" s="6">
        <f t="shared" si="50"/>
        <v>-65</v>
      </c>
      <c r="I321" s="6">
        <f t="shared" si="51"/>
        <v>1</v>
      </c>
      <c r="J321" s="6" t="str">
        <f>'IA - XL'!G82</f>
        <v xml:space="preserve">Stem Bolts: N/A -----  Aerobar Bolts: Top 35mm; Bottom 15mm </v>
      </c>
      <c r="K321" s="6">
        <v>1</v>
      </c>
    </row>
    <row r="322" spans="3:11" x14ac:dyDescent="0.25">
      <c r="C322" s="6">
        <f>'IA - XL'!D83</f>
        <v>705</v>
      </c>
      <c r="D322" s="6" t="str">
        <f>'IA - XL'!B83</f>
        <v>Frame: 58 ----- Stem: 31.8 ----- Alloy Aerobar: + 40 + bridge + 5 + 10</v>
      </c>
      <c r="E322" s="6">
        <f t="shared" si="52"/>
        <v>0</v>
      </c>
      <c r="F322" s="6" t="str">
        <f t="shared" si="42"/>
        <v/>
      </c>
      <c r="G322" s="6">
        <f t="shared" si="49"/>
        <v>1</v>
      </c>
      <c r="H322" s="6">
        <f t="shared" si="50"/>
        <v>-65</v>
      </c>
      <c r="I322" s="6">
        <f t="shared" si="51"/>
        <v>1</v>
      </c>
      <c r="J322" s="6" t="str">
        <f>'IA - XL'!G83</f>
        <v xml:space="preserve">Stem Bolts: N/A -----  Aerobar Bolts: Top 35mm; Bottom 25mm </v>
      </c>
      <c r="K322" s="6">
        <v>1</v>
      </c>
    </row>
    <row r="323" spans="3:11" x14ac:dyDescent="0.25">
      <c r="C323">
        <f>'IA - Large'!D69</f>
        <v>620</v>
      </c>
      <c r="D323" t="str">
        <f>'IA - Large'!B69</f>
        <v xml:space="preserve">Frame: 56 ----- Stem: 31.8 ----- Alloy Aerobar: </v>
      </c>
      <c r="E323">
        <f t="shared" si="52"/>
        <v>0</v>
      </c>
      <c r="F323" t="str">
        <f t="shared" si="42"/>
        <v/>
      </c>
      <c r="G323" t="str">
        <f t="shared" si="49"/>
        <v/>
      </c>
      <c r="H323">
        <f t="shared" ref="H323:H337" si="53">$E$4-$W$23</f>
        <v>-43</v>
      </c>
      <c r="I323">
        <f t="shared" ref="I323:I337" si="54">$AC$8</f>
        <v>1</v>
      </c>
      <c r="J323" t="str">
        <f>'IA - Large'!G69</f>
        <v xml:space="preserve">Stem Bolts: N/A -----  Aerobar Bolts: Top 20mm; Bottom N/A </v>
      </c>
      <c r="K323" s="6">
        <v>1</v>
      </c>
    </row>
    <row r="324" spans="3:11" x14ac:dyDescent="0.25">
      <c r="C324">
        <f>'IA - Large'!D70</f>
        <v>625</v>
      </c>
      <c r="D324" t="str">
        <f>'IA - Large'!B70</f>
        <v>Frame: 56 ----- Stem: 31.8 ----- Alloy Aerobar: + 5</v>
      </c>
      <c r="E324">
        <f t="shared" si="52"/>
        <v>0</v>
      </c>
      <c r="F324" t="str">
        <f t="shared" si="42"/>
        <v/>
      </c>
      <c r="G324" t="str">
        <f t="shared" si="49"/>
        <v/>
      </c>
      <c r="H324">
        <f t="shared" si="53"/>
        <v>-43</v>
      </c>
      <c r="I324">
        <f t="shared" si="54"/>
        <v>1</v>
      </c>
      <c r="J324" t="str">
        <f>'IA - Large'!G70</f>
        <v xml:space="preserve">Stem Bolts: N/A -----  Aerobar Bolts: Top 25mm; Bottom N/A </v>
      </c>
      <c r="K324" s="6">
        <v>1</v>
      </c>
    </row>
    <row r="325" spans="3:11" x14ac:dyDescent="0.25">
      <c r="C325">
        <f>'IA - Large'!D71</f>
        <v>630</v>
      </c>
      <c r="D325" t="str">
        <f>'IA - Large'!B71</f>
        <v>Frame: 56 ----- Stem: 31.8 ----- Alloy Aerobar: + 10</v>
      </c>
      <c r="E325">
        <f t="shared" si="52"/>
        <v>0</v>
      </c>
      <c r="F325" t="str">
        <f t="shared" si="42"/>
        <v/>
      </c>
      <c r="G325" t="str">
        <f t="shared" si="49"/>
        <v/>
      </c>
      <c r="H325">
        <f t="shared" si="53"/>
        <v>-43</v>
      </c>
      <c r="I325">
        <f t="shared" si="54"/>
        <v>1</v>
      </c>
      <c r="J325" t="str">
        <f>'IA - Large'!G71</f>
        <v xml:space="preserve">Stem Bolts: N/A -----  Aerobar Bolts: Top 30mm; Bottom N/A </v>
      </c>
      <c r="K325" s="6">
        <v>1</v>
      </c>
    </row>
    <row r="326" spans="3:11" x14ac:dyDescent="0.25">
      <c r="C326">
        <f>'IA - Large'!D72</f>
        <v>635</v>
      </c>
      <c r="D326" t="str">
        <f>'IA - Large'!B72</f>
        <v>Frame: 56 ----- Stem: 31.8 ----- Alloy Aerobar: + 5 + 10</v>
      </c>
      <c r="E326">
        <f t="shared" si="52"/>
        <v>0</v>
      </c>
      <c r="F326" t="str">
        <f t="shared" si="42"/>
        <v/>
      </c>
      <c r="G326" t="str">
        <f t="shared" si="49"/>
        <v/>
      </c>
      <c r="H326">
        <f t="shared" si="53"/>
        <v>-43</v>
      </c>
      <c r="I326">
        <f t="shared" si="54"/>
        <v>1</v>
      </c>
      <c r="J326" t="str">
        <f>'IA - Large'!G72</f>
        <v xml:space="preserve">Stem Bolts: N/A -----  Aerobar Bolts: Top 35mm; Bottom N/A </v>
      </c>
      <c r="K326" s="6">
        <v>1</v>
      </c>
    </row>
    <row r="327" spans="3:11" x14ac:dyDescent="0.25">
      <c r="C327">
        <f>'IA - Large'!D73</f>
        <v>640</v>
      </c>
      <c r="D327" t="str">
        <f>'IA - Large'!B73</f>
        <v>Frame: 56 ----- Stem: 31.8 ----- Alloy Aerobar: + 20</v>
      </c>
      <c r="E327">
        <f t="shared" si="52"/>
        <v>0</v>
      </c>
      <c r="F327" t="str">
        <f t="shared" si="42"/>
        <v/>
      </c>
      <c r="G327" t="str">
        <f t="shared" si="49"/>
        <v/>
      </c>
      <c r="H327">
        <f t="shared" si="53"/>
        <v>-43</v>
      </c>
      <c r="I327">
        <f t="shared" si="54"/>
        <v>1</v>
      </c>
      <c r="J327" t="str">
        <f>'IA - Large'!G73</f>
        <v xml:space="preserve">Stem Bolts: N/A -----  Aerobar Bolts: Top 20mm; Bottom 15mm </v>
      </c>
      <c r="K327" s="6">
        <v>1</v>
      </c>
    </row>
    <row r="328" spans="3:11" x14ac:dyDescent="0.25">
      <c r="C328">
        <f>'IA - Large'!D74</f>
        <v>645</v>
      </c>
      <c r="D328" t="str">
        <f>'IA - Large'!B74</f>
        <v xml:space="preserve">Frame: 56 ----- Stem: 31.8 ----- Alloy Aerobar: + 20 + 5 </v>
      </c>
      <c r="E328">
        <f t="shared" si="52"/>
        <v>0</v>
      </c>
      <c r="F328" t="str">
        <f t="shared" si="42"/>
        <v/>
      </c>
      <c r="G328" t="str">
        <f t="shared" si="49"/>
        <v/>
      </c>
      <c r="H328">
        <f t="shared" si="53"/>
        <v>-43</v>
      </c>
      <c r="I328">
        <f t="shared" si="54"/>
        <v>1</v>
      </c>
      <c r="J328" t="str">
        <f>'IA - Large'!G74</f>
        <v xml:space="preserve">Stem Bolts: N/A -----  Aerobar Bolts: Top 25mm; Bottom 15mm </v>
      </c>
      <c r="K328" s="6">
        <v>1</v>
      </c>
    </row>
    <row r="329" spans="3:11" x14ac:dyDescent="0.25">
      <c r="C329">
        <f>'IA - Large'!D75</f>
        <v>645</v>
      </c>
      <c r="D329" t="str">
        <f>'IA - Large'!B75</f>
        <v>Frame: 56 ----- Stem: 31.8 ----- Alloy Aerobar: + 20 + bridge</v>
      </c>
      <c r="E329">
        <f t="shared" si="52"/>
        <v>0</v>
      </c>
      <c r="F329" t="str">
        <f t="shared" ref="F329:F382" si="55">IF(ISNUMBER(FIND("30",D329)),1,"")</f>
        <v/>
      </c>
      <c r="G329" t="str">
        <f t="shared" si="49"/>
        <v/>
      </c>
      <c r="H329">
        <f t="shared" si="53"/>
        <v>-43</v>
      </c>
      <c r="I329">
        <f t="shared" si="54"/>
        <v>1</v>
      </c>
      <c r="J329" t="str">
        <f>'IA - Large'!G75</f>
        <v xml:space="preserve">Stem Bolts: N/A -----  Aerobar Bolts: Top 25mm; Bottom 15mm </v>
      </c>
      <c r="K329" s="6">
        <v>1</v>
      </c>
    </row>
    <row r="330" spans="3:11" x14ac:dyDescent="0.25">
      <c r="C330">
        <f>'IA - Large'!D76</f>
        <v>650</v>
      </c>
      <c r="D330" t="str">
        <f>'IA - Large'!B76</f>
        <v>Frame: 56 ----- Stem: 31.8 ----- Alloy Aerobar: + 20 + bridge + 5</v>
      </c>
      <c r="E330">
        <f t="shared" si="52"/>
        <v>0</v>
      </c>
      <c r="F330" t="str">
        <f t="shared" si="55"/>
        <v/>
      </c>
      <c r="G330" t="str">
        <f t="shared" si="49"/>
        <v/>
      </c>
      <c r="H330">
        <f t="shared" si="53"/>
        <v>-43</v>
      </c>
      <c r="I330">
        <f t="shared" si="54"/>
        <v>1</v>
      </c>
      <c r="J330" t="str">
        <f>'IA - Large'!G76</f>
        <v xml:space="preserve">Stem Bolts: N/A -----  Aerobar Bolts: Top 25mm; Bottom 15mm </v>
      </c>
      <c r="K330" s="6">
        <v>1</v>
      </c>
    </row>
    <row r="331" spans="3:11" x14ac:dyDescent="0.25">
      <c r="C331">
        <f>'IA - Large'!D77</f>
        <v>650</v>
      </c>
      <c r="D331" t="str">
        <f>'IA - Large'!B77</f>
        <v>Frame: 56 ----- Stem: 31.8 ----- Alloy Aerobar: + 30</v>
      </c>
      <c r="E331">
        <f t="shared" si="52"/>
        <v>0</v>
      </c>
      <c r="F331">
        <f t="shared" si="55"/>
        <v>1</v>
      </c>
      <c r="G331" t="str">
        <f t="shared" si="49"/>
        <v/>
      </c>
      <c r="H331">
        <f t="shared" si="53"/>
        <v>-43</v>
      </c>
      <c r="I331">
        <f t="shared" si="54"/>
        <v>1</v>
      </c>
      <c r="J331" t="str">
        <f>'IA - Large'!G77</f>
        <v xml:space="preserve">Stem Bolts: N/A -----  Aerobar Bolts: Top 25mm; Bottom 15mm </v>
      </c>
      <c r="K331" s="6">
        <v>1</v>
      </c>
    </row>
    <row r="332" spans="3:11" x14ac:dyDescent="0.25">
      <c r="C332">
        <f>'IA - Large'!D78</f>
        <v>655</v>
      </c>
      <c r="D332" t="str">
        <f>'IA - Large'!B78</f>
        <v>Frame: 56 ----- Stem: 31.8 ----- Alloy Aerobar: + 30 + bridge</v>
      </c>
      <c r="E332">
        <f t="shared" si="52"/>
        <v>0</v>
      </c>
      <c r="F332">
        <f t="shared" si="55"/>
        <v>1</v>
      </c>
      <c r="G332" t="str">
        <f t="shared" si="49"/>
        <v/>
      </c>
      <c r="H332">
        <f t="shared" si="53"/>
        <v>-43</v>
      </c>
      <c r="I332">
        <f t="shared" si="54"/>
        <v>1</v>
      </c>
      <c r="J332" t="str">
        <f>'IA - Large'!G78</f>
        <v xml:space="preserve">Stem Bolts: N/A -----  Aerobar Bolts: Top 30mm; Bottom 15mm </v>
      </c>
      <c r="K332" s="6">
        <v>1</v>
      </c>
    </row>
    <row r="333" spans="3:11" x14ac:dyDescent="0.25">
      <c r="C333">
        <f>'IA - Large'!D79</f>
        <v>660</v>
      </c>
      <c r="D333" t="str">
        <f>'IA - Large'!B79</f>
        <v>Frame: 56 ----- Stem: 31.8 ----- Alloy Aerobar: + 30 + bridge + 5</v>
      </c>
      <c r="E333">
        <f t="shared" si="52"/>
        <v>0</v>
      </c>
      <c r="F333">
        <f t="shared" si="55"/>
        <v>1</v>
      </c>
      <c r="G333" t="str">
        <f t="shared" si="49"/>
        <v/>
      </c>
      <c r="H333">
        <f t="shared" si="53"/>
        <v>-43</v>
      </c>
      <c r="I333">
        <f t="shared" si="54"/>
        <v>1</v>
      </c>
      <c r="J333" t="str">
        <f>'IA - Large'!G79</f>
        <v xml:space="preserve">Stem Bolts: N/A -----  Aerobar Bolts: Top 30mm; Bottom 15mm </v>
      </c>
      <c r="K333" s="6">
        <v>1</v>
      </c>
    </row>
    <row r="334" spans="3:11" x14ac:dyDescent="0.25">
      <c r="C334">
        <f>'IA - Large'!D80</f>
        <v>665</v>
      </c>
      <c r="D334" t="str">
        <f>'IA - Large'!B80</f>
        <v>Frame: 56 ----- Stem: 31.8 ----- Alloy Aerobar: + 40 + bridge</v>
      </c>
      <c r="E334">
        <f t="shared" si="52"/>
        <v>0</v>
      </c>
      <c r="F334" t="str">
        <f t="shared" si="55"/>
        <v/>
      </c>
      <c r="G334">
        <f t="shared" si="49"/>
        <v>1</v>
      </c>
      <c r="H334">
        <f t="shared" si="53"/>
        <v>-43</v>
      </c>
      <c r="I334">
        <f t="shared" si="54"/>
        <v>1</v>
      </c>
      <c r="J334" t="str">
        <f>'IA - Large'!G80</f>
        <v xml:space="preserve">Stem Bolts: N/A -----  Aerobar Bolts: Top 35mm; Bottom 15mm </v>
      </c>
      <c r="K334" s="6">
        <v>1</v>
      </c>
    </row>
    <row r="335" spans="3:11" x14ac:dyDescent="0.25">
      <c r="C335">
        <f>'IA - Large'!D81</f>
        <v>670</v>
      </c>
      <c r="D335" t="str">
        <f>'IA - Large'!B81</f>
        <v>Frame: 56 ----- Stem: 31.8 ----- Alloy Aerobar: + 40 + bridge + 5</v>
      </c>
      <c r="E335">
        <f t="shared" si="52"/>
        <v>0</v>
      </c>
      <c r="F335" t="str">
        <f t="shared" si="55"/>
        <v/>
      </c>
      <c r="G335">
        <f t="shared" si="49"/>
        <v>1</v>
      </c>
      <c r="H335">
        <f t="shared" si="53"/>
        <v>-43</v>
      </c>
      <c r="I335">
        <f t="shared" si="54"/>
        <v>1</v>
      </c>
      <c r="J335" t="str">
        <f>'IA - Large'!G81</f>
        <v xml:space="preserve">Stem Bolts: N/A -----  Aerobar Bolts: Top 35mm; Bottom 15mm </v>
      </c>
      <c r="K335" s="6">
        <v>1</v>
      </c>
    </row>
    <row r="336" spans="3:11" x14ac:dyDescent="0.25">
      <c r="C336">
        <f>'IA - Large'!D82</f>
        <v>675</v>
      </c>
      <c r="D336" t="str">
        <f>'IA - Large'!B82</f>
        <v>Frame: 56 ----- Stem: 31.8 ----- Alloy Aerobar: + 40 + bridge + 10</v>
      </c>
      <c r="E336">
        <f t="shared" si="52"/>
        <v>0</v>
      </c>
      <c r="F336" t="str">
        <f t="shared" si="55"/>
        <v/>
      </c>
      <c r="G336">
        <f t="shared" si="49"/>
        <v>1</v>
      </c>
      <c r="H336">
        <f t="shared" si="53"/>
        <v>-43</v>
      </c>
      <c r="I336">
        <f t="shared" si="54"/>
        <v>1</v>
      </c>
      <c r="J336" t="str">
        <f>'IA - Large'!G82</f>
        <v xml:space="preserve">Stem Bolts: N/A -----  Aerobar Bolts: Top 35mm; Bottom 15mm </v>
      </c>
      <c r="K336" s="6">
        <v>1</v>
      </c>
    </row>
    <row r="337" spans="3:11" x14ac:dyDescent="0.25">
      <c r="C337">
        <f>'IA - Large'!D83</f>
        <v>680</v>
      </c>
      <c r="D337" t="str">
        <f>'IA - Large'!B83</f>
        <v>Frame: 56 ----- Stem: 31.8 ----- Alloy Aerobar: + 40 + bridge + 5 + 10</v>
      </c>
      <c r="E337">
        <f t="shared" si="52"/>
        <v>0</v>
      </c>
      <c r="F337" t="str">
        <f t="shared" si="55"/>
        <v/>
      </c>
      <c r="G337">
        <f t="shared" si="49"/>
        <v>1</v>
      </c>
      <c r="H337">
        <f t="shared" si="53"/>
        <v>-43</v>
      </c>
      <c r="I337">
        <f t="shared" si="54"/>
        <v>1</v>
      </c>
      <c r="J337" t="str">
        <f>'IA - Large'!G83</f>
        <v xml:space="preserve">Stem Bolts: N/A -----  Aerobar Bolts: Top 35mm; Bottom 25mm </v>
      </c>
      <c r="K337" s="6">
        <v>1</v>
      </c>
    </row>
    <row r="338" spans="3:11" x14ac:dyDescent="0.25">
      <c r="C338" s="6">
        <f>'IA - Medium'!D69</f>
        <v>595</v>
      </c>
      <c r="D338" s="6" t="str">
        <f>'IA - Medium'!B69</f>
        <v xml:space="preserve">Frame: 54 ----- Stem: 31.8 ----- Alloy Aerobar: </v>
      </c>
      <c r="E338" s="6">
        <f t="shared" si="52"/>
        <v>1</v>
      </c>
      <c r="F338" s="6" t="str">
        <f t="shared" si="55"/>
        <v/>
      </c>
      <c r="G338" s="6" t="str">
        <f t="shared" si="49"/>
        <v/>
      </c>
      <c r="H338" s="6">
        <f t="shared" ref="H338:H352" si="56">$E$4-$W$22</f>
        <v>-23</v>
      </c>
      <c r="I338" s="6">
        <f t="shared" ref="I338:I352" si="57">$AC$7</f>
        <v>1</v>
      </c>
      <c r="J338" s="6" t="str">
        <f>'IA - Medium'!G69</f>
        <v xml:space="preserve">Stem Bolts: N/A -----  Aerobar Bolts: Top 20mm; Bottom N/A </v>
      </c>
      <c r="K338" s="6">
        <v>1</v>
      </c>
    </row>
    <row r="339" spans="3:11" x14ac:dyDescent="0.25">
      <c r="C339" s="6">
        <f>'IA - Medium'!D70</f>
        <v>600</v>
      </c>
      <c r="D339" s="6" t="str">
        <f>'IA - Medium'!B70</f>
        <v>Frame: 54 ----- Stem: 31.8 ----- Alloy Aerobar: + 5</v>
      </c>
      <c r="E339" s="6">
        <f t="shared" si="52"/>
        <v>1</v>
      </c>
      <c r="F339" s="6" t="str">
        <f t="shared" si="55"/>
        <v/>
      </c>
      <c r="G339" s="6" t="str">
        <f t="shared" si="49"/>
        <v/>
      </c>
      <c r="H339" s="6">
        <f t="shared" si="56"/>
        <v>-23</v>
      </c>
      <c r="I339" s="6">
        <f t="shared" si="57"/>
        <v>1</v>
      </c>
      <c r="J339" s="6" t="str">
        <f>'IA - Medium'!G70</f>
        <v xml:space="preserve">Stem Bolts: N/A -----  Aerobar Bolts: Top 25mm; Bottom N/A </v>
      </c>
      <c r="K339" s="6">
        <v>1</v>
      </c>
    </row>
    <row r="340" spans="3:11" x14ac:dyDescent="0.25">
      <c r="C340" s="6">
        <f>'IA - Medium'!D71</f>
        <v>605</v>
      </c>
      <c r="D340" s="6" t="str">
        <f>'IA - Medium'!B71</f>
        <v>Frame: 54 ----- Stem: 31.8 ----- Alloy Aerobar: + 10</v>
      </c>
      <c r="E340" s="6">
        <f t="shared" si="52"/>
        <v>1</v>
      </c>
      <c r="F340" s="6" t="str">
        <f t="shared" si="55"/>
        <v/>
      </c>
      <c r="G340" s="6" t="str">
        <f t="shared" si="49"/>
        <v/>
      </c>
      <c r="H340" s="6">
        <f t="shared" si="56"/>
        <v>-23</v>
      </c>
      <c r="I340" s="6">
        <f t="shared" si="57"/>
        <v>1</v>
      </c>
      <c r="J340" s="6" t="str">
        <f>'IA - Medium'!G71</f>
        <v xml:space="preserve">Stem Bolts: N/A -----  Aerobar Bolts: Top 30mm; Bottom N/A </v>
      </c>
      <c r="K340" s="6">
        <v>1</v>
      </c>
    </row>
    <row r="341" spans="3:11" x14ac:dyDescent="0.25">
      <c r="C341" s="6">
        <f>'IA - Medium'!D72</f>
        <v>610</v>
      </c>
      <c r="D341" s="6" t="str">
        <f>'IA - Medium'!B72</f>
        <v>Frame: 54 ----- Stem: 31.8 ----- Alloy Aerobar: + 5 + 10</v>
      </c>
      <c r="E341" s="6">
        <f t="shared" si="52"/>
        <v>1</v>
      </c>
      <c r="F341" s="6" t="str">
        <f t="shared" si="55"/>
        <v/>
      </c>
      <c r="G341" s="6" t="str">
        <f t="shared" si="49"/>
        <v/>
      </c>
      <c r="H341" s="6">
        <f t="shared" si="56"/>
        <v>-23</v>
      </c>
      <c r="I341" s="6">
        <f t="shared" si="57"/>
        <v>1</v>
      </c>
      <c r="J341" s="6" t="str">
        <f>'IA - Medium'!G72</f>
        <v xml:space="preserve">Stem Bolts: N/A -----  Aerobar Bolts: Top 35mm; Bottom N/A </v>
      </c>
      <c r="K341" s="6">
        <v>1</v>
      </c>
    </row>
    <row r="342" spans="3:11" x14ac:dyDescent="0.25">
      <c r="C342" s="6">
        <f>'IA - Medium'!D73</f>
        <v>615</v>
      </c>
      <c r="D342" s="6" t="str">
        <f>'IA - Medium'!B73</f>
        <v>Frame: 54 ----- Stem: 31.8 ----- Alloy Aerobar: + 20</v>
      </c>
      <c r="E342" s="6">
        <f t="shared" si="52"/>
        <v>1</v>
      </c>
      <c r="F342" s="6" t="str">
        <f t="shared" si="55"/>
        <v/>
      </c>
      <c r="G342" s="6" t="str">
        <f t="shared" si="49"/>
        <v/>
      </c>
      <c r="H342" s="6">
        <f t="shared" si="56"/>
        <v>-23</v>
      </c>
      <c r="I342" s="6">
        <f t="shared" si="57"/>
        <v>1</v>
      </c>
      <c r="J342" s="6" t="str">
        <f>'IA - Medium'!G73</f>
        <v xml:space="preserve">Stem Bolts: N/A -----  Aerobar Bolts: Top 20mm; Bottom 15mm </v>
      </c>
      <c r="K342" s="6">
        <v>1</v>
      </c>
    </row>
    <row r="343" spans="3:11" x14ac:dyDescent="0.25">
      <c r="C343" s="6">
        <f>'IA - Medium'!D74</f>
        <v>620</v>
      </c>
      <c r="D343" s="6" t="str">
        <f>'IA - Medium'!B74</f>
        <v xml:space="preserve">Frame: 54 ----- Stem: 31.8 ----- Alloy Aerobar: + 20 + 5 </v>
      </c>
      <c r="E343" s="6">
        <f t="shared" si="52"/>
        <v>1</v>
      </c>
      <c r="F343" s="6" t="str">
        <f t="shared" si="55"/>
        <v/>
      </c>
      <c r="G343" s="6" t="str">
        <f t="shared" si="49"/>
        <v/>
      </c>
      <c r="H343" s="6">
        <f t="shared" si="56"/>
        <v>-23</v>
      </c>
      <c r="I343" s="6">
        <f t="shared" si="57"/>
        <v>1</v>
      </c>
      <c r="J343" s="6" t="str">
        <f>'IA - Medium'!G74</f>
        <v xml:space="preserve">Stem Bolts: N/A -----  Aerobar Bolts: Top 25mm; Bottom 15mm </v>
      </c>
      <c r="K343" s="6">
        <v>1</v>
      </c>
    </row>
    <row r="344" spans="3:11" x14ac:dyDescent="0.25">
      <c r="C344" s="6">
        <f>'IA - Medium'!D75</f>
        <v>620</v>
      </c>
      <c r="D344" s="6" t="str">
        <f>'IA - Medium'!B75</f>
        <v>Frame: 54 ----- Stem: 31.8 ----- Alloy Aerobar: + 20 + bridge</v>
      </c>
      <c r="E344" s="6">
        <f t="shared" si="52"/>
        <v>1</v>
      </c>
      <c r="F344" s="6" t="str">
        <f t="shared" si="55"/>
        <v/>
      </c>
      <c r="G344" s="6" t="str">
        <f t="shared" si="49"/>
        <v/>
      </c>
      <c r="H344" s="6">
        <f t="shared" si="56"/>
        <v>-23</v>
      </c>
      <c r="I344" s="6">
        <f t="shared" si="57"/>
        <v>1</v>
      </c>
      <c r="J344" s="6" t="str">
        <f>'IA - Medium'!G75</f>
        <v xml:space="preserve">Stem Bolts: N/A -----  Aerobar Bolts: Top 25mm; Bottom 15mm </v>
      </c>
      <c r="K344" s="6">
        <v>1</v>
      </c>
    </row>
    <row r="345" spans="3:11" x14ac:dyDescent="0.25">
      <c r="C345" s="6">
        <f>'IA - Medium'!D76</f>
        <v>625</v>
      </c>
      <c r="D345" s="6" t="str">
        <f>'IA - Medium'!B76</f>
        <v>Frame: 54 ----- Stem: 31.8 ----- Alloy Aerobar: + 20 + bridge + 5</v>
      </c>
      <c r="E345" s="6">
        <f t="shared" si="52"/>
        <v>1</v>
      </c>
      <c r="F345" s="6" t="str">
        <f t="shared" si="55"/>
        <v/>
      </c>
      <c r="G345" s="6" t="str">
        <f t="shared" si="49"/>
        <v/>
      </c>
      <c r="H345" s="6">
        <f t="shared" si="56"/>
        <v>-23</v>
      </c>
      <c r="I345" s="6">
        <f t="shared" si="57"/>
        <v>1</v>
      </c>
      <c r="J345" s="6" t="str">
        <f>'IA - Medium'!G76</f>
        <v xml:space="preserve">Stem Bolts: N/A -----  Aerobar Bolts: Top 25mm; Bottom 15mm </v>
      </c>
      <c r="K345" s="6">
        <v>1</v>
      </c>
    </row>
    <row r="346" spans="3:11" x14ac:dyDescent="0.25">
      <c r="C346" s="6">
        <f>'IA - Medium'!D77</f>
        <v>625</v>
      </c>
      <c r="D346" s="6" t="str">
        <f>'IA - Medium'!B77</f>
        <v>Frame: 54 ----- Stem: 31.8 ----- Alloy Aerobar: + 30</v>
      </c>
      <c r="E346" s="6">
        <f t="shared" si="52"/>
        <v>1</v>
      </c>
      <c r="F346" s="6">
        <f t="shared" si="55"/>
        <v>1</v>
      </c>
      <c r="G346" s="6" t="str">
        <f t="shared" si="49"/>
        <v/>
      </c>
      <c r="H346" s="6">
        <f t="shared" si="56"/>
        <v>-23</v>
      </c>
      <c r="I346" s="6">
        <f t="shared" si="57"/>
        <v>1</v>
      </c>
      <c r="J346" s="6" t="str">
        <f>'IA - Medium'!G77</f>
        <v xml:space="preserve">Stem Bolts: N/A -----  Aerobar Bolts: Top 25mm; Bottom 15mm </v>
      </c>
      <c r="K346" s="6">
        <v>1</v>
      </c>
    </row>
    <row r="347" spans="3:11" x14ac:dyDescent="0.25">
      <c r="C347" s="6">
        <f>'IA - Medium'!D78</f>
        <v>630</v>
      </c>
      <c r="D347" s="6" t="str">
        <f>'IA - Medium'!B78</f>
        <v>Frame: 54 ----- Stem: 31.8 ----- Alloy Aerobar: + 30 + bridge</v>
      </c>
      <c r="E347" s="6">
        <f t="shared" si="52"/>
        <v>1</v>
      </c>
      <c r="F347" s="6">
        <f t="shared" si="55"/>
        <v>1</v>
      </c>
      <c r="G347" s="6" t="str">
        <f t="shared" si="49"/>
        <v/>
      </c>
      <c r="H347" s="6">
        <f t="shared" si="56"/>
        <v>-23</v>
      </c>
      <c r="I347" s="6">
        <f t="shared" si="57"/>
        <v>1</v>
      </c>
      <c r="J347" s="6" t="str">
        <f>'IA - Medium'!G78</f>
        <v xml:space="preserve">Stem Bolts: N/A -----  Aerobar Bolts: Top 30mm; Bottom 15mm </v>
      </c>
      <c r="K347" s="6">
        <v>1</v>
      </c>
    </row>
    <row r="348" spans="3:11" x14ac:dyDescent="0.25">
      <c r="C348" s="6">
        <f>'IA - Medium'!D79</f>
        <v>635</v>
      </c>
      <c r="D348" s="6" t="str">
        <f>'IA - Medium'!B79</f>
        <v>Frame: 54 ----- Stem: 31.8 ----- Alloy Aerobar: + 30 + bridge + 5</v>
      </c>
      <c r="E348" s="6">
        <f t="shared" si="52"/>
        <v>1</v>
      </c>
      <c r="F348" s="6">
        <f t="shared" si="55"/>
        <v>1</v>
      </c>
      <c r="G348" s="6" t="str">
        <f t="shared" si="49"/>
        <v/>
      </c>
      <c r="H348" s="6">
        <f t="shared" si="56"/>
        <v>-23</v>
      </c>
      <c r="I348" s="6">
        <f t="shared" si="57"/>
        <v>1</v>
      </c>
      <c r="J348" s="6" t="str">
        <f>'IA - Medium'!G79</f>
        <v xml:space="preserve">Stem Bolts: N/A -----  Aerobar Bolts: Top 30mm; Bottom 15mm </v>
      </c>
      <c r="K348" s="6">
        <v>1</v>
      </c>
    </row>
    <row r="349" spans="3:11" x14ac:dyDescent="0.25">
      <c r="C349" s="6">
        <f>'IA - Medium'!D80</f>
        <v>640</v>
      </c>
      <c r="D349" s="6" t="str">
        <f>'IA - Medium'!B80</f>
        <v>Frame: 54 ----- Stem: 31.8 ----- Alloy Aerobar: + 40 + bridge</v>
      </c>
      <c r="E349" s="6">
        <f t="shared" si="52"/>
        <v>1</v>
      </c>
      <c r="F349" s="6" t="str">
        <f t="shared" si="55"/>
        <v/>
      </c>
      <c r="G349" s="6">
        <f t="shared" si="49"/>
        <v>1</v>
      </c>
      <c r="H349" s="6">
        <f t="shared" si="56"/>
        <v>-23</v>
      </c>
      <c r="I349" s="6">
        <f t="shared" si="57"/>
        <v>1</v>
      </c>
      <c r="J349" s="6" t="str">
        <f>'IA - Medium'!G80</f>
        <v xml:space="preserve">Stem Bolts: N/A -----  Aerobar Bolts: Top 35mm; Bottom 15mm </v>
      </c>
      <c r="K349" s="6">
        <v>1</v>
      </c>
    </row>
    <row r="350" spans="3:11" x14ac:dyDescent="0.25">
      <c r="C350" s="6">
        <f>'IA - Medium'!D81</f>
        <v>645</v>
      </c>
      <c r="D350" s="6" t="str">
        <f>'IA - Medium'!B81</f>
        <v>Frame: 54 ----- Stem: 31.8 ----- Alloy Aerobar: + 40 + bridge + 5</v>
      </c>
      <c r="E350" s="6">
        <f t="shared" si="52"/>
        <v>1</v>
      </c>
      <c r="F350" s="6" t="str">
        <f t="shared" si="55"/>
        <v/>
      </c>
      <c r="G350" s="6">
        <f t="shared" si="49"/>
        <v>1</v>
      </c>
      <c r="H350" s="6">
        <f t="shared" si="56"/>
        <v>-23</v>
      </c>
      <c r="I350" s="6">
        <f t="shared" si="57"/>
        <v>1</v>
      </c>
      <c r="J350" s="6" t="str">
        <f>'IA - Medium'!G81</f>
        <v xml:space="preserve">Stem Bolts: N/A -----  Aerobar Bolts: Top 35mm; Bottom 15mm </v>
      </c>
      <c r="K350" s="6">
        <v>1</v>
      </c>
    </row>
    <row r="351" spans="3:11" x14ac:dyDescent="0.25">
      <c r="C351" s="6">
        <f>'IA - Medium'!D82</f>
        <v>650</v>
      </c>
      <c r="D351" s="6" t="str">
        <f>'IA - Medium'!B82</f>
        <v>Frame: 54 ----- Stem: 31.8 ----- Alloy Aerobar: + 40 + bridge + 10</v>
      </c>
      <c r="E351" s="6">
        <f t="shared" si="52"/>
        <v>1</v>
      </c>
      <c r="F351" s="6" t="str">
        <f t="shared" si="55"/>
        <v/>
      </c>
      <c r="G351" s="6">
        <f t="shared" si="49"/>
        <v>1</v>
      </c>
      <c r="H351" s="6">
        <f t="shared" si="56"/>
        <v>-23</v>
      </c>
      <c r="I351" s="6">
        <f t="shared" si="57"/>
        <v>1</v>
      </c>
      <c r="J351" s="6" t="str">
        <f>'IA - Medium'!G82</f>
        <v xml:space="preserve">Stem Bolts: N/A -----  Aerobar Bolts: Top 35mm; Bottom 15mm </v>
      </c>
      <c r="K351" s="6">
        <v>1</v>
      </c>
    </row>
    <row r="352" spans="3:11" x14ac:dyDescent="0.25">
      <c r="C352" s="6">
        <f>'IA - Medium'!D83</f>
        <v>655</v>
      </c>
      <c r="D352" s="6" t="str">
        <f>'IA - Medium'!B83</f>
        <v>Frame: 54 ----- Stem: 31.8 ----- Alloy Aerobar: + 40 + bridge + 5 + 10</v>
      </c>
      <c r="E352" s="6">
        <f t="shared" si="52"/>
        <v>1</v>
      </c>
      <c r="F352" s="6" t="str">
        <f t="shared" si="55"/>
        <v/>
      </c>
      <c r="G352" s="6">
        <f t="shared" si="49"/>
        <v>1</v>
      </c>
      <c r="H352" s="6">
        <f t="shared" si="56"/>
        <v>-23</v>
      </c>
      <c r="I352" s="6">
        <f t="shared" si="57"/>
        <v>1</v>
      </c>
      <c r="J352" s="6" t="str">
        <f>'IA - Medium'!G83</f>
        <v xml:space="preserve">Stem Bolts: N/A -----  Aerobar Bolts: Top 35mm; Bottom 25mm </v>
      </c>
      <c r="K352" s="6">
        <v>1</v>
      </c>
    </row>
    <row r="353" spans="3:11" x14ac:dyDescent="0.25">
      <c r="C353">
        <f>'IA - Small'!D69</f>
        <v>575</v>
      </c>
      <c r="D353" t="str">
        <f>'IA - Small'!B69</f>
        <v xml:space="preserve">Frame: 51 ----- Stem: 31.8 ----- Alloy Aerobar: </v>
      </c>
      <c r="E353">
        <f t="shared" si="52"/>
        <v>1</v>
      </c>
      <c r="F353" t="str">
        <f t="shared" si="55"/>
        <v/>
      </c>
      <c r="G353" t="str">
        <f t="shared" si="49"/>
        <v/>
      </c>
      <c r="H353">
        <f t="shared" ref="H353:H367" si="58">$E$4-$W$21</f>
        <v>-7</v>
      </c>
      <c r="I353">
        <f t="shared" ref="I353:I367" si="59">$AC$6</f>
        <v>1</v>
      </c>
      <c r="J353" t="str">
        <f>'IA - Small'!G69</f>
        <v xml:space="preserve">Stem Bolts: N/A -----  Aerobar Bolts: Top 20mm; Bottom N/A </v>
      </c>
      <c r="K353" s="6">
        <v>1</v>
      </c>
    </row>
    <row r="354" spans="3:11" x14ac:dyDescent="0.25">
      <c r="C354">
        <f>'IA - Small'!D70</f>
        <v>580</v>
      </c>
      <c r="D354" t="str">
        <f>'IA - Small'!B70</f>
        <v>Frame: 51 ----- Stem: 31.8 ----- Alloy Aerobar: + 5</v>
      </c>
      <c r="E354">
        <f t="shared" si="52"/>
        <v>1</v>
      </c>
      <c r="F354" t="str">
        <f t="shared" si="55"/>
        <v/>
      </c>
      <c r="G354" t="str">
        <f t="shared" si="49"/>
        <v/>
      </c>
      <c r="H354">
        <f t="shared" si="58"/>
        <v>-7</v>
      </c>
      <c r="I354">
        <f t="shared" si="59"/>
        <v>1</v>
      </c>
      <c r="J354" t="str">
        <f>'IA - Small'!G70</f>
        <v xml:space="preserve">Stem Bolts: N/A -----  Aerobar Bolts: Top 25mm; Bottom N/A </v>
      </c>
      <c r="K354" s="6">
        <v>1</v>
      </c>
    </row>
    <row r="355" spans="3:11" x14ac:dyDescent="0.25">
      <c r="C355">
        <f>'IA - Small'!D71</f>
        <v>585</v>
      </c>
      <c r="D355" t="str">
        <f>'IA - Small'!B71</f>
        <v>Frame: 51 ----- Stem: 31.8 ----- Alloy Aerobar: + 10</v>
      </c>
      <c r="E355">
        <f t="shared" si="52"/>
        <v>1</v>
      </c>
      <c r="F355" t="str">
        <f t="shared" si="55"/>
        <v/>
      </c>
      <c r="G355" t="str">
        <f t="shared" si="49"/>
        <v/>
      </c>
      <c r="H355">
        <f t="shared" si="58"/>
        <v>-7</v>
      </c>
      <c r="I355">
        <f t="shared" si="59"/>
        <v>1</v>
      </c>
      <c r="J355" t="str">
        <f>'IA - Small'!G71</f>
        <v xml:space="preserve">Stem Bolts: N/A -----  Aerobar Bolts: Top 30mm; Bottom N/A </v>
      </c>
      <c r="K355" s="6">
        <v>1</v>
      </c>
    </row>
    <row r="356" spans="3:11" x14ac:dyDescent="0.25">
      <c r="C356">
        <f>'IA - Small'!D72</f>
        <v>590</v>
      </c>
      <c r="D356" t="str">
        <f>'IA - Small'!B72</f>
        <v>Frame: 51 ----- Stem: 31.8 ----- Alloy Aerobar: + 5 + 10</v>
      </c>
      <c r="E356">
        <f t="shared" si="52"/>
        <v>1</v>
      </c>
      <c r="F356" t="str">
        <f t="shared" si="55"/>
        <v/>
      </c>
      <c r="G356" t="str">
        <f t="shared" si="49"/>
        <v/>
      </c>
      <c r="H356">
        <f t="shared" si="58"/>
        <v>-7</v>
      </c>
      <c r="I356">
        <f t="shared" si="59"/>
        <v>1</v>
      </c>
      <c r="J356" t="str">
        <f>'IA - Small'!G72</f>
        <v xml:space="preserve">Stem Bolts: N/A -----  Aerobar Bolts: Top 35mm; Bottom N/A </v>
      </c>
      <c r="K356" s="6">
        <v>1</v>
      </c>
    </row>
    <row r="357" spans="3:11" x14ac:dyDescent="0.25">
      <c r="C357">
        <f>'IA - Small'!D73</f>
        <v>595</v>
      </c>
      <c r="D357" t="str">
        <f>'IA - Small'!B73</f>
        <v>Frame: 51 ----- Stem: 31.8 ----- Alloy Aerobar: + 20</v>
      </c>
      <c r="E357">
        <f t="shared" si="52"/>
        <v>1</v>
      </c>
      <c r="F357" t="str">
        <f t="shared" si="55"/>
        <v/>
      </c>
      <c r="G357" t="str">
        <f t="shared" si="49"/>
        <v/>
      </c>
      <c r="H357">
        <f t="shared" si="58"/>
        <v>-7</v>
      </c>
      <c r="I357">
        <f t="shared" si="59"/>
        <v>1</v>
      </c>
      <c r="J357" t="str">
        <f>'IA - Small'!G73</f>
        <v xml:space="preserve">Stem Bolts: N/A -----  Aerobar Bolts: Top 20mm; Bottom 15mm </v>
      </c>
      <c r="K357" s="6">
        <v>1</v>
      </c>
    </row>
    <row r="358" spans="3:11" x14ac:dyDescent="0.25">
      <c r="C358">
        <f>'IA - Small'!D74</f>
        <v>600</v>
      </c>
      <c r="D358" t="str">
        <f>'IA - Small'!B74</f>
        <v xml:space="preserve">Frame: 51 ----- Stem: 31.8 ----- Alloy Aerobar: + 20 + 5 </v>
      </c>
      <c r="E358">
        <f t="shared" si="52"/>
        <v>1</v>
      </c>
      <c r="F358" t="str">
        <f t="shared" si="55"/>
        <v/>
      </c>
      <c r="G358" t="str">
        <f t="shared" si="49"/>
        <v/>
      </c>
      <c r="H358">
        <f t="shared" si="58"/>
        <v>-7</v>
      </c>
      <c r="I358">
        <f t="shared" si="59"/>
        <v>1</v>
      </c>
      <c r="J358" t="str">
        <f>'IA - Small'!G74</f>
        <v xml:space="preserve">Stem Bolts: N/A -----  Aerobar Bolts: Top 25mm; Bottom 15mm </v>
      </c>
      <c r="K358" s="6">
        <v>1</v>
      </c>
    </row>
    <row r="359" spans="3:11" x14ac:dyDescent="0.25">
      <c r="C359">
        <f>'IA - Small'!D75</f>
        <v>600</v>
      </c>
      <c r="D359" t="str">
        <f>'IA - Small'!B75</f>
        <v>Frame: 51 ----- Stem: 31.8 ----- Alloy Aerobar: + 20 + bridge</v>
      </c>
      <c r="E359">
        <f t="shared" si="52"/>
        <v>1</v>
      </c>
      <c r="F359" t="str">
        <f t="shared" si="55"/>
        <v/>
      </c>
      <c r="G359" t="str">
        <f t="shared" si="49"/>
        <v/>
      </c>
      <c r="H359">
        <f t="shared" si="58"/>
        <v>-7</v>
      </c>
      <c r="I359">
        <f t="shared" si="59"/>
        <v>1</v>
      </c>
      <c r="J359" t="str">
        <f>'IA - Small'!G75</f>
        <v xml:space="preserve">Stem Bolts: N/A -----  Aerobar Bolts: Top 25mm; Bottom 15mm </v>
      </c>
      <c r="K359" s="6">
        <v>1</v>
      </c>
    </row>
    <row r="360" spans="3:11" x14ac:dyDescent="0.25">
      <c r="C360">
        <f>'IA - Small'!D76</f>
        <v>605</v>
      </c>
      <c r="D360" t="str">
        <f>'IA - Small'!B76</f>
        <v>Frame: 51 ----- Stem: 31.8 ----- Alloy Aerobar: + 20 + bridge + 5</v>
      </c>
      <c r="E360">
        <f t="shared" si="52"/>
        <v>1</v>
      </c>
      <c r="F360" t="str">
        <f t="shared" si="55"/>
        <v/>
      </c>
      <c r="G360" t="str">
        <f t="shared" si="49"/>
        <v/>
      </c>
      <c r="H360">
        <f t="shared" si="58"/>
        <v>-7</v>
      </c>
      <c r="I360">
        <f t="shared" si="59"/>
        <v>1</v>
      </c>
      <c r="J360" t="str">
        <f>'IA - Small'!G76</f>
        <v xml:space="preserve">Stem Bolts: N/A -----  Aerobar Bolts: Top 25mm; Bottom 15mm </v>
      </c>
      <c r="K360" s="6">
        <v>1</v>
      </c>
    </row>
    <row r="361" spans="3:11" x14ac:dyDescent="0.25">
      <c r="C361">
        <f>'IA - Small'!D77</f>
        <v>605</v>
      </c>
      <c r="D361" t="str">
        <f>'IA - Small'!B77</f>
        <v>Frame: 51 ----- Stem: 31.8 ----- Alloy Aerobar: + 30</v>
      </c>
      <c r="E361">
        <f t="shared" si="52"/>
        <v>1</v>
      </c>
      <c r="F361">
        <f t="shared" si="55"/>
        <v>1</v>
      </c>
      <c r="G361" t="str">
        <f t="shared" ref="G361:G382" si="60">IF(ISNUMBER(FIND("40",D361)),1,"")</f>
        <v/>
      </c>
      <c r="H361">
        <f t="shared" si="58"/>
        <v>-7</v>
      </c>
      <c r="I361">
        <f t="shared" si="59"/>
        <v>1</v>
      </c>
      <c r="J361" t="str">
        <f>'IA - Small'!G77</f>
        <v xml:space="preserve">Stem Bolts: N/A -----  Aerobar Bolts: Top 25mm; Bottom 15mm </v>
      </c>
      <c r="K361" s="6">
        <v>1</v>
      </c>
    </row>
    <row r="362" spans="3:11" x14ac:dyDescent="0.25">
      <c r="C362">
        <f>'IA - Small'!D78</f>
        <v>610</v>
      </c>
      <c r="D362" t="str">
        <f>'IA - Small'!B78</f>
        <v>Frame: 51 ----- Stem: 31.8 ----- Alloy Aerobar: + 30 + bridge</v>
      </c>
      <c r="E362">
        <f t="shared" si="52"/>
        <v>1</v>
      </c>
      <c r="F362">
        <f t="shared" si="55"/>
        <v>1</v>
      </c>
      <c r="G362" t="str">
        <f t="shared" si="60"/>
        <v/>
      </c>
      <c r="H362">
        <f t="shared" si="58"/>
        <v>-7</v>
      </c>
      <c r="I362">
        <f t="shared" si="59"/>
        <v>1</v>
      </c>
      <c r="J362" t="str">
        <f>'IA - Small'!G78</f>
        <v xml:space="preserve">Stem Bolts: N/A -----  Aerobar Bolts: Top 30mm; Bottom 15mm </v>
      </c>
      <c r="K362" s="6">
        <v>1</v>
      </c>
    </row>
    <row r="363" spans="3:11" x14ac:dyDescent="0.25">
      <c r="C363">
        <f>'IA - Small'!D79</f>
        <v>615</v>
      </c>
      <c r="D363" t="str">
        <f>'IA - Small'!B79</f>
        <v>Frame: 51 ----- Stem: 31.8 ----- Alloy Aerobar: + 30 + bridge + 5</v>
      </c>
      <c r="E363">
        <f t="shared" si="52"/>
        <v>1</v>
      </c>
      <c r="F363">
        <f t="shared" si="55"/>
        <v>1</v>
      </c>
      <c r="G363" t="str">
        <f t="shared" si="60"/>
        <v/>
      </c>
      <c r="H363">
        <f t="shared" si="58"/>
        <v>-7</v>
      </c>
      <c r="I363">
        <f t="shared" si="59"/>
        <v>1</v>
      </c>
      <c r="J363" t="str">
        <f>'IA - Small'!G79</f>
        <v xml:space="preserve">Stem Bolts: N/A -----  Aerobar Bolts: Top 30mm; Bottom 15mm </v>
      </c>
      <c r="K363" s="6">
        <v>1</v>
      </c>
    </row>
    <row r="364" spans="3:11" x14ac:dyDescent="0.25">
      <c r="C364">
        <f>'IA - Small'!D80</f>
        <v>620</v>
      </c>
      <c r="D364" t="str">
        <f>'IA - Small'!B80</f>
        <v>Frame: 51 ----- Stem: 31.8 ----- Alloy Aerobar: + 40 + bridge</v>
      </c>
      <c r="E364">
        <f t="shared" si="52"/>
        <v>1</v>
      </c>
      <c r="F364" t="str">
        <f t="shared" si="55"/>
        <v/>
      </c>
      <c r="G364">
        <f t="shared" si="60"/>
        <v>1</v>
      </c>
      <c r="H364">
        <f t="shared" si="58"/>
        <v>-7</v>
      </c>
      <c r="I364">
        <f t="shared" si="59"/>
        <v>1</v>
      </c>
      <c r="J364" t="str">
        <f>'IA - Small'!G80</f>
        <v xml:space="preserve">Stem Bolts: N/A -----  Aerobar Bolts: Top 35mm; Bottom 15mm </v>
      </c>
      <c r="K364" s="6">
        <v>1</v>
      </c>
    </row>
    <row r="365" spans="3:11" x14ac:dyDescent="0.25">
      <c r="C365">
        <f>'IA - Small'!D81</f>
        <v>625</v>
      </c>
      <c r="D365" t="str">
        <f>'IA - Small'!B81</f>
        <v>Frame: 51 ----- Stem: 31.8 ----- Alloy Aerobar: + 40 + bridge + 5</v>
      </c>
      <c r="E365">
        <f t="shared" si="52"/>
        <v>1</v>
      </c>
      <c r="F365" t="str">
        <f t="shared" si="55"/>
        <v/>
      </c>
      <c r="G365">
        <f t="shared" si="60"/>
        <v>1</v>
      </c>
      <c r="H365">
        <f t="shared" si="58"/>
        <v>-7</v>
      </c>
      <c r="I365">
        <f t="shared" si="59"/>
        <v>1</v>
      </c>
      <c r="J365" t="str">
        <f>'IA - Small'!G81</f>
        <v xml:space="preserve">Stem Bolts: N/A -----  Aerobar Bolts: Top 35mm; Bottom 15mm </v>
      </c>
      <c r="K365" s="6">
        <v>1</v>
      </c>
    </row>
    <row r="366" spans="3:11" x14ac:dyDescent="0.25">
      <c r="C366">
        <f>'IA - Small'!D82</f>
        <v>630</v>
      </c>
      <c r="D366" t="str">
        <f>'IA - Small'!B82</f>
        <v>Frame: 51 ----- Stem: 31.8 ----- Alloy Aerobar: + 40 + bridge + 10</v>
      </c>
      <c r="E366">
        <f t="shared" si="52"/>
        <v>1</v>
      </c>
      <c r="F366" t="str">
        <f t="shared" si="55"/>
        <v/>
      </c>
      <c r="G366">
        <f t="shared" si="60"/>
        <v>1</v>
      </c>
      <c r="H366">
        <f t="shared" si="58"/>
        <v>-7</v>
      </c>
      <c r="I366">
        <f t="shared" si="59"/>
        <v>1</v>
      </c>
      <c r="J366" t="str">
        <f>'IA - Small'!G82</f>
        <v xml:space="preserve">Stem Bolts: N/A -----  Aerobar Bolts: Top 35mm; Bottom 15mm </v>
      </c>
      <c r="K366" s="6">
        <v>1</v>
      </c>
    </row>
    <row r="367" spans="3:11" x14ac:dyDescent="0.25">
      <c r="C367">
        <f>'IA - Small'!D83</f>
        <v>635</v>
      </c>
      <c r="D367" t="str">
        <f>'IA - Small'!B83</f>
        <v>Frame: 51 ----- Stem: 31.8 ----- Alloy Aerobar: + 40 + bridge + 5 + 10</v>
      </c>
      <c r="E367">
        <f t="shared" si="52"/>
        <v>1</v>
      </c>
      <c r="F367" t="str">
        <f t="shared" si="55"/>
        <v/>
      </c>
      <c r="G367">
        <f t="shared" si="60"/>
        <v>1</v>
      </c>
      <c r="H367">
        <f t="shared" si="58"/>
        <v>-7</v>
      </c>
      <c r="I367">
        <f t="shared" si="59"/>
        <v>1</v>
      </c>
      <c r="J367" t="str">
        <f>'IA - Small'!G83</f>
        <v xml:space="preserve">Stem Bolts: N/A -----  Aerobar Bolts: Top 35mm; Bottom 25mm </v>
      </c>
      <c r="K367" s="6">
        <v>1</v>
      </c>
    </row>
    <row r="368" spans="3:11" x14ac:dyDescent="0.25">
      <c r="C368" s="6">
        <f>'IA - XS'!D69</f>
        <v>550</v>
      </c>
      <c r="D368" s="6" t="str">
        <f>'IA - XS'!B69</f>
        <v xml:space="preserve">Frame: 48 ----- Stem: 31.8 ----- Alloy Aerobar: </v>
      </c>
      <c r="E368" s="6">
        <f>E293</f>
        <v>1</v>
      </c>
      <c r="F368" s="6" t="str">
        <f t="shared" si="55"/>
        <v/>
      </c>
      <c r="G368" s="6" t="str">
        <f t="shared" si="60"/>
        <v/>
      </c>
      <c r="H368" s="6">
        <f t="shared" ref="H368:H382" si="61">$E$4-$W$20</f>
        <v>1</v>
      </c>
      <c r="I368" s="6">
        <f t="shared" ref="I368:I382" si="62">$AC$5</f>
        <v>1</v>
      </c>
      <c r="J368" s="6" t="str">
        <f>'IA - XS'!G69</f>
        <v xml:space="preserve">Stem Bolts: N/A -----  Aerobar Bolts: Top 20mm; Bottom N/A </v>
      </c>
      <c r="K368" s="6">
        <v>1</v>
      </c>
    </row>
    <row r="369" spans="3:11" x14ac:dyDescent="0.25">
      <c r="C369" s="6">
        <f>'IA - XS'!D70</f>
        <v>555</v>
      </c>
      <c r="D369" s="6" t="str">
        <f>'IA - XS'!B70</f>
        <v>Frame: 48 ----- Stem: 31.8 ----- Alloy Aerobar: + 5</v>
      </c>
      <c r="E369" s="6">
        <f t="shared" si="52"/>
        <v>1</v>
      </c>
      <c r="F369" s="6" t="str">
        <f t="shared" si="55"/>
        <v/>
      </c>
      <c r="G369" s="6" t="str">
        <f t="shared" si="60"/>
        <v/>
      </c>
      <c r="H369" s="6">
        <f t="shared" si="61"/>
        <v>1</v>
      </c>
      <c r="I369" s="6">
        <f t="shared" si="62"/>
        <v>1</v>
      </c>
      <c r="J369" s="6" t="str">
        <f>'IA - XS'!G70</f>
        <v xml:space="preserve">Stem Bolts: N/A -----  Aerobar Bolts: Top 25mm; Bottom N/A </v>
      </c>
      <c r="K369" s="6">
        <v>1</v>
      </c>
    </row>
    <row r="370" spans="3:11" x14ac:dyDescent="0.25">
      <c r="C370" s="6">
        <f>'IA - XS'!D71</f>
        <v>560</v>
      </c>
      <c r="D370" s="6" t="str">
        <f>'IA - XS'!B71</f>
        <v>Frame: 48 ----- Stem: 31.8 ----- Alloy Aerobar: + 10</v>
      </c>
      <c r="E370" s="6">
        <f t="shared" si="52"/>
        <v>1</v>
      </c>
      <c r="F370" s="6" t="str">
        <f t="shared" si="55"/>
        <v/>
      </c>
      <c r="G370" s="6" t="str">
        <f t="shared" si="60"/>
        <v/>
      </c>
      <c r="H370" s="6">
        <f t="shared" si="61"/>
        <v>1</v>
      </c>
      <c r="I370" s="6">
        <f t="shared" si="62"/>
        <v>1</v>
      </c>
      <c r="J370" s="6" t="str">
        <f>'IA - XS'!G71</f>
        <v xml:space="preserve">Stem Bolts: N/A -----  Aerobar Bolts: Top 30mm; Bottom N/A </v>
      </c>
      <c r="K370" s="6">
        <v>1</v>
      </c>
    </row>
    <row r="371" spans="3:11" x14ac:dyDescent="0.25">
      <c r="C371" s="6">
        <f>'IA - XS'!D72</f>
        <v>565</v>
      </c>
      <c r="D371" s="6" t="str">
        <f>'IA - XS'!B72</f>
        <v>Frame: 48 ----- Stem: 31.8 ----- Alloy Aerobar: + 5 + 10</v>
      </c>
      <c r="E371" s="6">
        <f t="shared" si="52"/>
        <v>1</v>
      </c>
      <c r="F371" s="6" t="str">
        <f t="shared" si="55"/>
        <v/>
      </c>
      <c r="G371" s="6" t="str">
        <f t="shared" si="60"/>
        <v/>
      </c>
      <c r="H371" s="6">
        <f t="shared" si="61"/>
        <v>1</v>
      </c>
      <c r="I371" s="6">
        <f t="shared" si="62"/>
        <v>1</v>
      </c>
      <c r="J371" s="6" t="str">
        <f>'IA - XS'!G72</f>
        <v xml:space="preserve">Stem Bolts: N/A -----  Aerobar Bolts: Top 35mm; Bottom N/A </v>
      </c>
      <c r="K371" s="6">
        <v>1</v>
      </c>
    </row>
    <row r="372" spans="3:11" x14ac:dyDescent="0.25">
      <c r="C372" s="6">
        <f>'IA - XS'!D73</f>
        <v>570</v>
      </c>
      <c r="D372" s="6" t="str">
        <f>'IA - XS'!B73</f>
        <v>Frame: 48 ----- Stem: 31.8 ----- Alloy Aerobar: + 20</v>
      </c>
      <c r="E372" s="6">
        <f t="shared" si="52"/>
        <v>1</v>
      </c>
      <c r="F372" s="6" t="str">
        <f t="shared" si="55"/>
        <v/>
      </c>
      <c r="G372" s="6" t="str">
        <f t="shared" si="60"/>
        <v/>
      </c>
      <c r="H372" s="6">
        <f t="shared" si="61"/>
        <v>1</v>
      </c>
      <c r="I372" s="6">
        <f t="shared" si="62"/>
        <v>1</v>
      </c>
      <c r="J372" s="6" t="str">
        <f>'IA - XS'!G73</f>
        <v xml:space="preserve">Stem Bolts: N/A -----  Aerobar Bolts: Top 20mm; Bottom 15mm </v>
      </c>
      <c r="K372" s="6">
        <v>1</v>
      </c>
    </row>
    <row r="373" spans="3:11" x14ac:dyDescent="0.25">
      <c r="C373" s="6">
        <f>'IA - XS'!D74</f>
        <v>575</v>
      </c>
      <c r="D373" s="6" t="str">
        <f>'IA - XS'!B74</f>
        <v xml:space="preserve">Frame: 48 ----- Stem: 31.8 ----- Alloy Aerobar: + 20 + 5 </v>
      </c>
      <c r="E373" s="6">
        <f t="shared" ref="E373:E382" si="63">E298</f>
        <v>1</v>
      </c>
      <c r="F373" s="6" t="str">
        <f t="shared" si="55"/>
        <v/>
      </c>
      <c r="G373" s="6" t="str">
        <f t="shared" si="60"/>
        <v/>
      </c>
      <c r="H373" s="6">
        <f t="shared" si="61"/>
        <v>1</v>
      </c>
      <c r="I373" s="6">
        <f t="shared" si="62"/>
        <v>1</v>
      </c>
      <c r="J373" s="6" t="str">
        <f>'IA - XS'!G74</f>
        <v xml:space="preserve">Stem Bolts: N/A -----  Aerobar Bolts: Top 25mm; Bottom 15mm </v>
      </c>
      <c r="K373" s="6">
        <v>1</v>
      </c>
    </row>
    <row r="374" spans="3:11" x14ac:dyDescent="0.25">
      <c r="C374" s="6">
        <f>'IA - XS'!D75</f>
        <v>575</v>
      </c>
      <c r="D374" s="6" t="str">
        <f>'IA - XS'!B75</f>
        <v>Frame: 48 ----- Stem: 31.8 ----- Alloy Aerobar: + 20 + bridge</v>
      </c>
      <c r="E374" s="6">
        <f t="shared" si="63"/>
        <v>1</v>
      </c>
      <c r="F374" s="6" t="str">
        <f t="shared" si="55"/>
        <v/>
      </c>
      <c r="G374" s="6" t="str">
        <f t="shared" si="60"/>
        <v/>
      </c>
      <c r="H374" s="6">
        <f t="shared" si="61"/>
        <v>1</v>
      </c>
      <c r="I374" s="6">
        <f t="shared" si="62"/>
        <v>1</v>
      </c>
      <c r="J374" s="6" t="str">
        <f>'IA - XS'!G75</f>
        <v xml:space="preserve">Stem Bolts: N/A -----  Aerobar Bolts: Top 25mm; Bottom 15mm </v>
      </c>
      <c r="K374" s="6">
        <v>1</v>
      </c>
    </row>
    <row r="375" spans="3:11" x14ac:dyDescent="0.25">
      <c r="C375" s="6">
        <f>'IA - XS'!D76</f>
        <v>580</v>
      </c>
      <c r="D375" s="6" t="str">
        <f>'IA - XS'!B76</f>
        <v>Frame: 48 ----- Stem: 31.8 ----- Alloy Aerobar: + 20 + bridge + 5</v>
      </c>
      <c r="E375" s="6">
        <f t="shared" si="63"/>
        <v>1</v>
      </c>
      <c r="F375" s="6" t="str">
        <f t="shared" si="55"/>
        <v/>
      </c>
      <c r="G375" s="6" t="str">
        <f t="shared" si="60"/>
        <v/>
      </c>
      <c r="H375" s="6">
        <f t="shared" si="61"/>
        <v>1</v>
      </c>
      <c r="I375" s="6">
        <f t="shared" si="62"/>
        <v>1</v>
      </c>
      <c r="J375" s="6" t="str">
        <f>'IA - XS'!G76</f>
        <v xml:space="preserve">Stem Bolts: N/A -----  Aerobar Bolts: Top 25mm; Bottom 15mm </v>
      </c>
      <c r="K375" s="6">
        <v>1</v>
      </c>
    </row>
    <row r="376" spans="3:11" x14ac:dyDescent="0.25">
      <c r="C376" s="6">
        <f>'IA - XS'!D77</f>
        <v>580</v>
      </c>
      <c r="D376" s="6" t="str">
        <f>'IA - XS'!B77</f>
        <v>Frame: 48 ----- Stem: 31.8 ----- Alloy Aerobar: + 30</v>
      </c>
      <c r="E376" s="6">
        <f t="shared" si="63"/>
        <v>1</v>
      </c>
      <c r="F376" s="6">
        <f t="shared" si="55"/>
        <v>1</v>
      </c>
      <c r="G376" s="6" t="str">
        <f t="shared" si="60"/>
        <v/>
      </c>
      <c r="H376" s="6">
        <f t="shared" si="61"/>
        <v>1</v>
      </c>
      <c r="I376" s="6">
        <f t="shared" si="62"/>
        <v>1</v>
      </c>
      <c r="J376" s="6" t="str">
        <f>'IA - XS'!G77</f>
        <v xml:space="preserve">Stem Bolts: N/A -----  Aerobar Bolts: Top 25mm; Bottom 15mm </v>
      </c>
      <c r="K376" s="6">
        <v>1</v>
      </c>
    </row>
    <row r="377" spans="3:11" x14ac:dyDescent="0.25">
      <c r="C377" s="6">
        <f>'IA - XS'!D78</f>
        <v>585</v>
      </c>
      <c r="D377" s="6" t="str">
        <f>'IA - XS'!B78</f>
        <v>Frame: 48 ----- Stem: 31.8 ----- Alloy Aerobar: + 30 + bridge</v>
      </c>
      <c r="E377" s="6">
        <f t="shared" si="63"/>
        <v>1</v>
      </c>
      <c r="F377" s="6">
        <f t="shared" si="55"/>
        <v>1</v>
      </c>
      <c r="G377" s="6" t="str">
        <f t="shared" si="60"/>
        <v/>
      </c>
      <c r="H377" s="6">
        <f t="shared" si="61"/>
        <v>1</v>
      </c>
      <c r="I377" s="6">
        <f t="shared" si="62"/>
        <v>1</v>
      </c>
      <c r="J377" s="6" t="str">
        <f>'IA - XS'!G78</f>
        <v xml:space="preserve">Stem Bolts: N/A -----  Aerobar Bolts: Top 30mm; Bottom 15mm </v>
      </c>
      <c r="K377" s="6">
        <v>1</v>
      </c>
    </row>
    <row r="378" spans="3:11" x14ac:dyDescent="0.25">
      <c r="C378" s="6">
        <f>'IA - XS'!D79</f>
        <v>590</v>
      </c>
      <c r="D378" s="6" t="str">
        <f>'IA - XS'!B79</f>
        <v>Frame: 48 ----- Stem: 31.8 ----- Alloy Aerobar: + 30 + bridge + 5</v>
      </c>
      <c r="E378" s="6">
        <f t="shared" si="63"/>
        <v>1</v>
      </c>
      <c r="F378" s="6">
        <f t="shared" si="55"/>
        <v>1</v>
      </c>
      <c r="G378" s="6" t="str">
        <f t="shared" si="60"/>
        <v/>
      </c>
      <c r="H378" s="6">
        <f t="shared" si="61"/>
        <v>1</v>
      </c>
      <c r="I378" s="6">
        <f t="shared" si="62"/>
        <v>1</v>
      </c>
      <c r="J378" s="6" t="str">
        <f>'IA - XS'!G79</f>
        <v xml:space="preserve">Stem Bolts: N/A -----  Aerobar Bolts: Top 30mm; Bottom 15mm </v>
      </c>
      <c r="K378" s="6">
        <v>1</v>
      </c>
    </row>
    <row r="379" spans="3:11" x14ac:dyDescent="0.25">
      <c r="C379" s="6">
        <f>'IA - XS'!D80</f>
        <v>595</v>
      </c>
      <c r="D379" s="6" t="str">
        <f>'IA - XS'!B80</f>
        <v>Frame: 48 ----- Stem: 31.8 ----- Alloy Aerobar: + 40 + bridge</v>
      </c>
      <c r="E379" s="6">
        <f t="shared" si="63"/>
        <v>1</v>
      </c>
      <c r="F379" s="6" t="str">
        <f t="shared" si="55"/>
        <v/>
      </c>
      <c r="G379" s="6">
        <f t="shared" si="60"/>
        <v>1</v>
      </c>
      <c r="H379" s="6">
        <f t="shared" si="61"/>
        <v>1</v>
      </c>
      <c r="I379" s="6">
        <f t="shared" si="62"/>
        <v>1</v>
      </c>
      <c r="J379" s="6" t="str">
        <f>'IA - XS'!G80</f>
        <v xml:space="preserve">Stem Bolts: N/A -----  Aerobar Bolts: Top 35mm; Bottom 15mm </v>
      </c>
      <c r="K379" s="6">
        <v>1</v>
      </c>
    </row>
    <row r="380" spans="3:11" x14ac:dyDescent="0.25">
      <c r="C380" s="6">
        <f>'IA - XS'!D81</f>
        <v>600</v>
      </c>
      <c r="D380" s="6" t="str">
        <f>'IA - XS'!B81</f>
        <v>Frame: 48 ----- Stem: 31.8 ----- Alloy Aerobar: + 40 + bridge + 5</v>
      </c>
      <c r="E380" s="6">
        <f t="shared" si="63"/>
        <v>1</v>
      </c>
      <c r="F380" s="6" t="str">
        <f t="shared" si="55"/>
        <v/>
      </c>
      <c r="G380" s="6">
        <f t="shared" si="60"/>
        <v>1</v>
      </c>
      <c r="H380" s="6">
        <f t="shared" si="61"/>
        <v>1</v>
      </c>
      <c r="I380" s="6">
        <f t="shared" si="62"/>
        <v>1</v>
      </c>
      <c r="J380" s="6" t="str">
        <f>'IA - XS'!G81</f>
        <v xml:space="preserve">Stem Bolts: N/A -----  Aerobar Bolts: Top 35mm; Bottom 15mm </v>
      </c>
      <c r="K380" s="6">
        <v>1</v>
      </c>
    </row>
    <row r="381" spans="3:11" x14ac:dyDescent="0.25">
      <c r="C381" s="6">
        <f>'IA - XS'!D82</f>
        <v>605</v>
      </c>
      <c r="D381" s="6" t="str">
        <f>'IA - XS'!B82</f>
        <v>Frame: 48 ----- Stem: 31.8 ----- Alloy Aerobar: + 40 + bridge + 10</v>
      </c>
      <c r="E381" s="6">
        <f t="shared" si="63"/>
        <v>1</v>
      </c>
      <c r="F381" s="6" t="str">
        <f t="shared" si="55"/>
        <v/>
      </c>
      <c r="G381" s="6">
        <f t="shared" si="60"/>
        <v>1</v>
      </c>
      <c r="H381" s="6">
        <f t="shared" si="61"/>
        <v>1</v>
      </c>
      <c r="I381" s="6">
        <f t="shared" si="62"/>
        <v>1</v>
      </c>
      <c r="J381" s="6" t="str">
        <f>'IA - XS'!G82</f>
        <v xml:space="preserve">Stem Bolts: N/A -----  Aerobar Bolts: Top 35mm; Bottom 15mm </v>
      </c>
      <c r="K381" s="6">
        <v>1</v>
      </c>
    </row>
    <row r="382" spans="3:11" x14ac:dyDescent="0.25">
      <c r="C382" s="6">
        <f>'IA - XS'!D83</f>
        <v>610</v>
      </c>
      <c r="D382" s="6" t="str">
        <f>'IA - XS'!B83</f>
        <v>Frame: 48 ----- Stem: 31.8 ----- Alloy Aerobar: + 40 + bridge + 5 + 10</v>
      </c>
      <c r="E382" s="6">
        <f t="shared" si="63"/>
        <v>1</v>
      </c>
      <c r="F382" s="6" t="str">
        <f t="shared" si="55"/>
        <v/>
      </c>
      <c r="G382" s="6">
        <f t="shared" si="60"/>
        <v>1</v>
      </c>
      <c r="H382" s="6">
        <f t="shared" si="61"/>
        <v>1</v>
      </c>
      <c r="I382" s="6">
        <f t="shared" si="62"/>
        <v>1</v>
      </c>
      <c r="J382" s="6" t="str">
        <f>'IA - XS'!G83</f>
        <v xml:space="preserve">Stem Bolts: N/A -----  Aerobar Bolts: Top 35mm; Bottom 25mm </v>
      </c>
      <c r="K382" s="6">
        <v>1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5"/>
  </sheetPr>
  <dimension ref="A3:AI907"/>
  <sheetViews>
    <sheetView topLeftCell="N49" zoomScale="55" zoomScaleNormal="55" workbookViewId="0">
      <selection activeCell="Q134" sqref="Q134"/>
    </sheetView>
  </sheetViews>
  <sheetFormatPr defaultRowHeight="15" x14ac:dyDescent="0.25"/>
  <cols>
    <col min="1" max="4" width="9.140625" style="11"/>
    <col min="5" max="5" width="65" style="11" bestFit="1" customWidth="1"/>
    <col min="6" max="6" width="8" style="11" customWidth="1"/>
    <col min="7" max="7" width="7.28515625" style="11" customWidth="1"/>
    <col min="8" max="8" width="5.85546875" style="11" customWidth="1"/>
    <col min="9" max="9" width="13" style="11" customWidth="1"/>
    <col min="10" max="10" width="12.5703125" style="11" customWidth="1"/>
    <col min="11" max="11" width="9.7109375" style="11" customWidth="1"/>
    <col min="12" max="12" width="40" style="11" bestFit="1" customWidth="1"/>
    <col min="13" max="14" width="60.28515625" style="11" bestFit="1" customWidth="1"/>
    <col min="15" max="15" width="75" style="11" bestFit="1" customWidth="1"/>
    <col min="16" max="16" width="76" style="11" bestFit="1" customWidth="1"/>
    <col min="17" max="17" width="64.42578125" style="11" bestFit="1" customWidth="1"/>
    <col min="18" max="18" width="79.28515625" style="11" bestFit="1" customWidth="1"/>
    <col min="19" max="19" width="4.5703125" style="11" customWidth="1"/>
    <col min="20" max="20" width="9.140625" style="11"/>
    <col min="21" max="21" width="14.85546875" style="11" customWidth="1"/>
    <col min="22" max="22" width="11.85546875" style="11" customWidth="1"/>
    <col min="23" max="23" width="9.140625" style="11"/>
    <col min="24" max="24" width="10.7109375" style="11" customWidth="1"/>
    <col min="25" max="26" width="9.140625" style="11"/>
    <col min="27" max="27" width="17.5703125" style="11" customWidth="1"/>
    <col min="28" max="29" width="9.140625" style="11"/>
    <col min="30" max="30" width="12.42578125" style="11" customWidth="1"/>
    <col min="31" max="31" width="9.140625" style="11"/>
    <col min="32" max="32" width="10.7109375" style="11" customWidth="1"/>
    <col min="33" max="33" width="14.28515625" style="11" customWidth="1"/>
    <col min="34" max="16384" width="9.140625" style="11"/>
  </cols>
  <sheetData>
    <row r="3" spans="1:35" x14ac:dyDescent="0.25">
      <c r="F3" s="11" t="s">
        <v>2</v>
      </c>
      <c r="G3" s="11" t="s">
        <v>1</v>
      </c>
      <c r="I3" s="11" t="s">
        <v>43</v>
      </c>
      <c r="J3" s="11" t="s">
        <v>53</v>
      </c>
    </row>
    <row r="4" spans="1:35" x14ac:dyDescent="0.25">
      <c r="E4" s="11" t="s">
        <v>13</v>
      </c>
      <c r="F4" s="11">
        <f>Input!C12</f>
        <v>470</v>
      </c>
      <c r="G4" s="11">
        <f>Input!E12</f>
        <v>590</v>
      </c>
      <c r="I4" s="11">
        <f>Input!G12</f>
        <v>720</v>
      </c>
      <c r="J4" s="11" t="e">
        <f>Input!#REF!</f>
        <v>#REF!</v>
      </c>
      <c r="U4" s="11" t="s">
        <v>20</v>
      </c>
      <c r="V4" s="11" t="s">
        <v>21</v>
      </c>
      <c r="W4" s="11" t="s">
        <v>22</v>
      </c>
      <c r="X4" s="11" t="s">
        <v>21</v>
      </c>
      <c r="Y4" s="11" t="s">
        <v>22</v>
      </c>
      <c r="AA4" s="11" t="s">
        <v>40</v>
      </c>
      <c r="AB4" s="11" t="s">
        <v>42</v>
      </c>
      <c r="AC4" s="11" t="s">
        <v>41</v>
      </c>
      <c r="AD4" s="11" t="s">
        <v>44</v>
      </c>
      <c r="AF4" s="11" t="s">
        <v>54</v>
      </c>
      <c r="AG4" s="11" t="s">
        <v>42</v>
      </c>
      <c r="AH4" s="11" t="s">
        <v>41</v>
      </c>
      <c r="AI4" s="11" t="s">
        <v>44</v>
      </c>
    </row>
    <row r="5" spans="1:35" x14ac:dyDescent="0.25">
      <c r="E5" s="11" t="s">
        <v>14</v>
      </c>
      <c r="F5" s="11">
        <f xml:space="preserve"> ROUND(F4/5,0)*5</f>
        <v>470</v>
      </c>
      <c r="G5" s="11">
        <f xml:space="preserve"> ROUND(G4/5,0)*5</f>
        <v>590</v>
      </c>
      <c r="U5" s="11" t="s">
        <v>3</v>
      </c>
      <c r="V5" s="11">
        <v>395</v>
      </c>
      <c r="W5" s="11">
        <f>'IA - XS'!J4</f>
        <v>475</v>
      </c>
      <c r="X5" s="11">
        <f>IF($F$5&gt;V5,1,0)</f>
        <v>1</v>
      </c>
      <c r="Y5" s="11">
        <f>IF($F$5&lt;W5,1,0)</f>
        <v>1</v>
      </c>
      <c r="AA5" s="11">
        <f>U37</f>
        <v>47</v>
      </c>
      <c r="AB5" s="11">
        <f>'Data - DA'!J4</f>
        <v>588</v>
      </c>
      <c r="AC5" s="11">
        <f>'Data - DA'!K4</f>
        <v>788</v>
      </c>
      <c r="AD5" s="11">
        <f>IF(AND(AB5&lt;$I$4,AC5&gt;$I$4),1,0)</f>
        <v>1</v>
      </c>
      <c r="AF5" s="11">
        <f>U37</f>
        <v>47</v>
      </c>
      <c r="AG5" s="11">
        <f>SIN(RADIANS(90-'Data - DA'!$O5))*$I$4-'Data - DA'!$O$13</f>
        <v>66.349712473814918</v>
      </c>
      <c r="AH5" s="11">
        <f>SIN(RADIANS(90-'Data - DA'!$P5))*$I$4-'Data - DA'!$P$13</f>
        <v>-20.151267121620151</v>
      </c>
      <c r="AI5" s="11" t="e">
        <f>IF(AND($J$4&lt;AG5,$J$4&gt;AH5),1,0)</f>
        <v>#REF!</v>
      </c>
    </row>
    <row r="6" spans="1:35" x14ac:dyDescent="0.25">
      <c r="B6" s="11" t="s">
        <v>2</v>
      </c>
      <c r="C6" s="11" t="s">
        <v>2</v>
      </c>
      <c r="P6" s="12" t="s">
        <v>24</v>
      </c>
      <c r="U6" s="11" t="s">
        <v>4</v>
      </c>
      <c r="V6" s="11">
        <v>405</v>
      </c>
      <c r="W6" s="11">
        <f>'IA - Small'!J4</f>
        <v>485</v>
      </c>
      <c r="X6" s="11">
        <f>IF($F$5&gt;V6,1,0)</f>
        <v>1</v>
      </c>
      <c r="Y6" s="11">
        <f>IF($F$5&lt;W6,1,0)</f>
        <v>1</v>
      </c>
      <c r="AA6" s="11">
        <f t="shared" ref="AA6:AA9" si="0">U38</f>
        <v>51</v>
      </c>
      <c r="AB6" s="11">
        <f>'Data - DA'!J5</f>
        <v>643</v>
      </c>
      <c r="AC6" s="11">
        <f>'Data - DA'!K5</f>
        <v>843</v>
      </c>
      <c r="AD6" s="11">
        <f t="shared" ref="AD6:AD9" si="1">IF(AND(AB6&lt;$I$4,AC6&gt;$I$4),1,0)</f>
        <v>1</v>
      </c>
      <c r="AF6" s="11">
        <f t="shared" ref="AF6:AF9" si="2">U38</f>
        <v>51</v>
      </c>
      <c r="AG6" s="11">
        <f>SIN(RADIANS(90-'Data - DA'!$O6))*$I$4-'Data - DA'!$O$13</f>
        <v>72.411630776344936</v>
      </c>
      <c r="AH6" s="11">
        <f>SIN(RADIANS(90-'Data - DA'!$P6))*$I$4-'Data - DA'!$P$13</f>
        <v>-11.532986514426597</v>
      </c>
      <c r="AI6" s="11" t="e">
        <f t="shared" ref="AI6:AI9" si="3">IF(AND($J$4&lt;AG6,$J$4&gt;AH6),1,0)</f>
        <v>#REF!</v>
      </c>
    </row>
    <row r="7" spans="1:35" x14ac:dyDescent="0.25">
      <c r="A7" s="11" t="s">
        <v>85</v>
      </c>
      <c r="B7" s="11" t="s">
        <v>21</v>
      </c>
      <c r="C7" s="11" t="s">
        <v>22</v>
      </c>
      <c r="D7" s="11" t="s">
        <v>1</v>
      </c>
      <c r="F7" s="11" t="s">
        <v>19</v>
      </c>
      <c r="G7" s="11">
        <v>30</v>
      </c>
      <c r="H7" s="11">
        <v>40</v>
      </c>
      <c r="I7" s="11" t="s">
        <v>31</v>
      </c>
      <c r="J7" s="11" t="s">
        <v>83</v>
      </c>
      <c r="K7" s="11" t="s">
        <v>84</v>
      </c>
      <c r="L7" s="11" t="s">
        <v>86</v>
      </c>
      <c r="M7" s="12" t="s">
        <v>23</v>
      </c>
      <c r="N7" s="12" t="s">
        <v>59</v>
      </c>
      <c r="O7" s="12" t="s">
        <v>30</v>
      </c>
      <c r="P7" s="12" t="s">
        <v>25</v>
      </c>
      <c r="Q7" s="12" t="s">
        <v>26</v>
      </c>
      <c r="R7" s="12" t="s">
        <v>27</v>
      </c>
      <c r="U7" s="11" t="s">
        <v>5</v>
      </c>
      <c r="V7" s="11">
        <v>420</v>
      </c>
      <c r="W7" s="11">
        <f>'IA - Medium'!J4</f>
        <v>500</v>
      </c>
      <c r="X7" s="11">
        <f>IF($F$5&gt;V7,1,0)</f>
        <v>1</v>
      </c>
      <c r="Y7" s="11">
        <f>IF($F$5&lt;W7,1,0)</f>
        <v>1</v>
      </c>
      <c r="AA7" s="11">
        <f t="shared" si="0"/>
        <v>54</v>
      </c>
      <c r="AB7" s="11">
        <f>'Data - DA'!J6</f>
        <v>652</v>
      </c>
      <c r="AC7" s="11">
        <f>'Data - DA'!K6</f>
        <v>852</v>
      </c>
      <c r="AD7" s="11">
        <f t="shared" si="1"/>
        <v>1</v>
      </c>
      <c r="AF7" s="11">
        <f t="shared" si="2"/>
        <v>54</v>
      </c>
      <c r="AG7" s="11">
        <f>SIN(RADIANS(90-'Data - DA'!$O7))*$I$4-'Data - DA'!$O$13</f>
        <v>72.411630776344936</v>
      </c>
      <c r="AH7" s="11">
        <f>SIN(RADIANS(90-'Data - DA'!$P7))*$I$4-'Data - DA'!$P$13</f>
        <v>-10.303582611213272</v>
      </c>
      <c r="AI7" s="11" t="e">
        <f t="shared" si="3"/>
        <v>#REF!</v>
      </c>
    </row>
    <row r="8" spans="1:35" x14ac:dyDescent="0.25">
      <c r="A8" s="11">
        <f>'DA - 58'!C12</f>
        <v>485</v>
      </c>
      <c r="B8" s="11">
        <f>'DA - 58'!D12</f>
        <v>455</v>
      </c>
      <c r="C8" s="11">
        <f>'DA - 58'!E12</f>
        <v>535</v>
      </c>
      <c r="D8" s="11">
        <f>'DA - 58'!G12</f>
        <v>0</v>
      </c>
      <c r="E8" s="11" t="str">
        <f>'DA - 58'!B12</f>
        <v>Frame: 58 ----- Stem: 70x30  ----- Carbon Aerobar</v>
      </c>
      <c r="F8" s="11">
        <f>IF(AND($F$5&gt;=B8,$F$5&lt;=C8),1,"")</f>
        <v>1</v>
      </c>
      <c r="G8" s="11" t="str">
        <f>IF(ISNUMBER(FIND(" 30",E8)),1,"")</f>
        <v/>
      </c>
      <c r="H8" s="11" t="str">
        <f>IF(ISNUMBER(FIND(" 40",E8)),1,"")</f>
        <v/>
      </c>
      <c r="I8" s="11">
        <f>$F$5-A8</f>
        <v>-15</v>
      </c>
      <c r="J8" s="11">
        <v>1</v>
      </c>
      <c r="K8" s="11">
        <f>IF(ISNUMBER(FIND(" 58",E8)),$AD$9,IF(ISNUMBER(FIND(" 56",E8)),$AD$8,IF(ISNUMBER(FIND(" 54",E8)),$AD$7,IF(ISNUMBER(FIND(" 51",E8)),$AD$6,IF(ISNUMBER(FIND(" 47",E8)),$AD$5,"")))))</f>
        <v>1</v>
      </c>
      <c r="L8" s="11" t="str">
        <f>'DA - 58'!H12</f>
        <v xml:space="preserve">Aerobar Bolts: Top N/A; Bottom N/A </v>
      </c>
      <c r="M8" s="11" t="str">
        <f t="array" ref="M8">INDEX($D$8:$E$907, SMALL(IF($D$8:$D$907=$G$5, ROW($D$8:$D$907)-MIN(ROW($D$8:$D$907))+1), ROW(1:1)),2)</f>
        <v>Frame: 56 ----- Stem: 90x0  ----- Carbon Aerobar + 10</v>
      </c>
      <c r="N8" s="11" t="str">
        <f>IFERROR(IF(AND(VLOOKUP(M8,$E$8:$K$907,2,FALSE)=1,VLOOKUP(M8,$E$8:$K$907,6,FALSE)=1,VLOOKUP(M8,$E$8:$K$907,7,FALSE)=1),M8,""),"")</f>
        <v>Frame: 56 ----- Stem: 90x0  ----- Carbon Aerobar + 10</v>
      </c>
      <c r="O8" s="11" t="str">
        <f>IF(N8="","",TEXT(N8,0)&amp;"  with reach:"&amp;IFERROR(VLOOKUP(N8,$E$8:$I$907,5,FALSE),""))</f>
        <v>Frame: 56 ----- Stem: 90x0  ----- Carbon Aerobar + 10  with reach:-25</v>
      </c>
      <c r="P8" s="11" t="str">
        <f>IFERROR(IF(AND(VLOOKUP(N8,$E$8:$H$907,3,FALSE)="",VLOOKUP(N8,$E$8:$H$907,4,FALSE)=""),N8,""),"")</f>
        <v>Frame: 56 ----- Stem: 90x0  ----- Carbon Aerobar + 10</v>
      </c>
      <c r="Q8" s="11" t="str">
        <f>IFERROR(IF(AND(VLOOKUP(N8,$E$8:$H$907,3,FALSE)=1,VLOOKUP(N8,$E$8:$H$907,4,FALSE)=""),N8,""),"")</f>
        <v/>
      </c>
      <c r="R8" s="11" t="str">
        <f>IFERROR(IF(VLOOKUP(N8,$E$8:$H$907,4,FALSE)=1,N8,""),"")</f>
        <v/>
      </c>
      <c r="U8" s="11" t="s">
        <v>6</v>
      </c>
      <c r="V8" s="11">
        <v>440</v>
      </c>
      <c r="W8" s="11">
        <f>'IA - Large'!L4</f>
        <v>520</v>
      </c>
      <c r="X8" s="11">
        <f>IF($F$5&gt;V8,1,0)</f>
        <v>1</v>
      </c>
      <c r="Y8" s="11">
        <f>IF($F$5&lt;W8,1,0)</f>
        <v>1</v>
      </c>
      <c r="AA8" s="11">
        <f t="shared" si="0"/>
        <v>56</v>
      </c>
      <c r="AB8" s="11">
        <f>'Data - DA'!J7</f>
        <v>671</v>
      </c>
      <c r="AC8" s="11">
        <f>'Data - DA'!K7</f>
        <v>871</v>
      </c>
      <c r="AD8" s="11">
        <f t="shared" si="1"/>
        <v>1</v>
      </c>
      <c r="AF8" s="11">
        <f t="shared" si="2"/>
        <v>56</v>
      </c>
      <c r="AG8" s="11">
        <f>SIN(RADIANS(90-'Data - DA'!$O8))*$I$4-'Data - DA'!$O$13</f>
        <v>72.411630776344936</v>
      </c>
      <c r="AH8" s="11">
        <f>SIN(RADIANS(90-'Data - DA'!$P8))*$I$4-'Data - DA'!$P$13</f>
        <v>-10.303582611213272</v>
      </c>
      <c r="AI8" s="11" t="e">
        <f t="shared" si="3"/>
        <v>#REF!</v>
      </c>
    </row>
    <row r="9" spans="1:35" x14ac:dyDescent="0.25">
      <c r="A9" s="11">
        <f>'DA - 58'!C13</f>
        <v>485</v>
      </c>
      <c r="B9" s="11">
        <f>'DA - 58'!D13</f>
        <v>455</v>
      </c>
      <c r="C9" s="11">
        <f>'DA - 58'!E13</f>
        <v>535</v>
      </c>
      <c r="D9" s="11">
        <f>'DA - 58'!G13</f>
        <v>635</v>
      </c>
      <c r="E9" s="11" t="str">
        <f>'DA - 58'!B13</f>
        <v>Frame: 58 ----- Stem: 70x30  ----- Carbon Aerobar + 5</v>
      </c>
      <c r="F9" s="11">
        <f t="shared" ref="F9:F72" si="4">IF(AND($F$5&gt;=B9,$F$5&lt;=C9),1,"")</f>
        <v>1</v>
      </c>
      <c r="G9" s="11" t="str">
        <f t="shared" ref="G9:G71" si="5">IF(ISNUMBER(FIND(" 30",E9)),1,"")</f>
        <v/>
      </c>
      <c r="H9" s="11" t="str">
        <f t="shared" ref="H9:H72" si="6">IF(ISNUMBER(FIND(" 40",E9)),1,"")</f>
        <v/>
      </c>
      <c r="I9" s="11">
        <f t="shared" ref="I9:I72" si="7">$F$5-A9</f>
        <v>-15</v>
      </c>
      <c r="J9" s="11">
        <v>1</v>
      </c>
      <c r="K9" s="11">
        <f t="shared" ref="K9:K72" si="8">IF(ISNUMBER(FIND(" 58",E9)),$AD$9,IF(ISNUMBER(FIND(" 56",E9)),$AD$8,IF(ISNUMBER(FIND(" 54",E9)),$AD$7,IF(ISNUMBER(FIND(" 51",E9)),$AD$6,IF(ISNUMBER(FIND(" 47",E9)),$AD$5,"")))))</f>
        <v>1</v>
      </c>
      <c r="L9" s="11" t="str">
        <f>'DA - 58'!H13</f>
        <v xml:space="preserve">Aerobar Bolts: Top 45mm; Bottom N/A </v>
      </c>
      <c r="M9" s="11" t="str">
        <f t="array" ref="M9">INDEX($D$8:$E$907, SMALL(IF($D$8:$D$907=$G$5, ROW($D$8:$D$907)-MIN(ROW($D$8:$D$907))+1), ROW(2:2)),2)</f>
        <v>Frame: 56 ----- Stem: 110x0  ----- Carbon Aerobar + 10</v>
      </c>
      <c r="N9" s="11" t="str">
        <f t="shared" ref="N9:N49" si="9">IFERROR(IF(AND(VLOOKUP(M9,$E$8:$K$907,2,FALSE)=1,VLOOKUP(M9,$E$8:$K$907,6,FALSE)=1,VLOOKUP(M9,$E$8:$K$907,7,FALSE)=1),M9,""),"")</f>
        <v/>
      </c>
      <c r="O9" s="11" t="str">
        <f t="shared" ref="O9:O41" si="10">IF(N9="","",TEXT(N9,0)&amp;"  with reach:"&amp;IFERROR(VLOOKUP(N9,$E$8:$I$907,5,FALSE),""))</f>
        <v/>
      </c>
      <c r="P9" s="11" t="str">
        <f t="shared" ref="P9:P49" si="11">IFERROR(IF(AND(VLOOKUP(N9,$E$8:$H$907,3,FALSE)="",VLOOKUP(N9,$E$8:$H$907,4,FALSE)=""),N9,""),"")</f>
        <v/>
      </c>
      <c r="Q9" s="11" t="str">
        <f t="shared" ref="Q9:Q49" si="12">IFERROR(IF(AND(VLOOKUP(N9,$E$8:$H$907,3,FALSE)=1,VLOOKUP(N9,$E$8:$H$907,4,FALSE)=""),N9,""),"")</f>
        <v/>
      </c>
      <c r="R9" s="11" t="str">
        <f t="shared" ref="R9:R49" si="13">IFERROR(IF(VLOOKUP(N9,$E$8:$H$907,4,FALSE)=1,N9,""),"")</f>
        <v/>
      </c>
      <c r="U9" s="11" t="s">
        <v>7</v>
      </c>
      <c r="V9" s="11">
        <v>460</v>
      </c>
      <c r="W9" s="11">
        <f>'IA - XL'!J4</f>
        <v>545</v>
      </c>
      <c r="X9" s="11">
        <f>IF($F$5&gt;V9,1,0)</f>
        <v>1</v>
      </c>
      <c r="Y9" s="11">
        <f>IF($F$5&lt;W9,1,0)</f>
        <v>1</v>
      </c>
      <c r="AA9" s="11">
        <f t="shared" si="0"/>
        <v>58</v>
      </c>
      <c r="AB9" s="11">
        <f>'Data - DA'!J8</f>
        <v>691</v>
      </c>
      <c r="AC9" s="11">
        <f>'Data - DA'!K8</f>
        <v>891</v>
      </c>
      <c r="AD9" s="11">
        <f t="shared" si="1"/>
        <v>1</v>
      </c>
      <c r="AF9" s="11">
        <f t="shared" si="2"/>
        <v>58</v>
      </c>
      <c r="AG9" s="11">
        <f>SIN(RADIANS(90-'Data - DA'!$O9))*$I$4-'Data - DA'!$O$13</f>
        <v>72.411630776344936</v>
      </c>
      <c r="AH9" s="11">
        <f>SIN(RADIANS(90-'Data - DA'!$P9))*$I$4-'Data - DA'!$P$13</f>
        <v>-10.303582611213272</v>
      </c>
      <c r="AI9" s="11" t="e">
        <f t="shared" si="3"/>
        <v>#REF!</v>
      </c>
    </row>
    <row r="10" spans="1:35" x14ac:dyDescent="0.25">
      <c r="A10" s="11">
        <f>'DA - 58'!C14</f>
        <v>485</v>
      </c>
      <c r="B10" s="11">
        <f>'DA - 58'!D14</f>
        <v>455</v>
      </c>
      <c r="C10" s="11">
        <f>'DA - 58'!E14</f>
        <v>535</v>
      </c>
      <c r="D10" s="11">
        <f>'DA - 58'!G14</f>
        <v>640</v>
      </c>
      <c r="E10" s="11" t="str">
        <f>'DA - 58'!B14</f>
        <v>Frame: 58 ----- Stem: 70x30  ----- Carbon Aerobar + 10</v>
      </c>
      <c r="F10" s="11">
        <f t="shared" si="4"/>
        <v>1</v>
      </c>
      <c r="G10" s="11" t="str">
        <f t="shared" si="5"/>
        <v/>
      </c>
      <c r="H10" s="11" t="str">
        <f t="shared" si="6"/>
        <v/>
      </c>
      <c r="I10" s="11">
        <f t="shared" si="7"/>
        <v>-15</v>
      </c>
      <c r="J10" s="11">
        <v>1</v>
      </c>
      <c r="K10" s="11">
        <f t="shared" si="8"/>
        <v>1</v>
      </c>
      <c r="L10" s="11" t="str">
        <f>'DA - 58'!H14</f>
        <v xml:space="preserve">Aerobar Bolts: Top 50mm; Bottom N/A </v>
      </c>
      <c r="M10" s="11" t="str">
        <f t="array" ref="M10">INDEX($D$8:$E$907, SMALL(IF($D$8:$D$907=$G$5, ROW($D$8:$D$907)-MIN(ROW($D$8:$D$907))+1), ROW(3:3)),2)</f>
        <v>Frame: 54 ----- Stem: 90x0  ----- Carbon Aerobar + 30</v>
      </c>
      <c r="N10" s="11" t="str">
        <f t="shared" si="9"/>
        <v>Frame: 54 ----- Stem: 90x0  ----- Carbon Aerobar + 30</v>
      </c>
      <c r="O10" s="11" t="str">
        <f t="shared" si="10"/>
        <v>Frame: 54 ----- Stem: 90x0  ----- Carbon Aerobar + 30  with reach:-10</v>
      </c>
      <c r="P10" s="11" t="str">
        <f t="shared" si="11"/>
        <v/>
      </c>
      <c r="Q10" s="11" t="str">
        <f t="shared" si="12"/>
        <v>Frame: 54 ----- Stem: 90x0  ----- Carbon Aerobar + 30</v>
      </c>
      <c r="R10" s="11" t="str">
        <f t="shared" si="13"/>
        <v/>
      </c>
    </row>
    <row r="11" spans="1:35" x14ac:dyDescent="0.25">
      <c r="A11" s="11">
        <f>'DA - 58'!C15</f>
        <v>485</v>
      </c>
      <c r="B11" s="11">
        <f>'DA - 58'!D15</f>
        <v>455</v>
      </c>
      <c r="C11" s="11">
        <f>'DA - 58'!E15</f>
        <v>535</v>
      </c>
      <c r="D11" s="11">
        <f>'DA - 58'!G15</f>
        <v>645</v>
      </c>
      <c r="E11" s="11" t="str">
        <f>'DA - 58'!B15</f>
        <v>Frame: 58 ----- Stem: 70x30  ----- Carbon Aerobar + 5 + 10</v>
      </c>
      <c r="F11" s="11">
        <f t="shared" si="4"/>
        <v>1</v>
      </c>
      <c r="G11" s="11" t="str">
        <f t="shared" si="5"/>
        <v/>
      </c>
      <c r="H11" s="11" t="str">
        <f t="shared" si="6"/>
        <v/>
      </c>
      <c r="I11" s="11">
        <f t="shared" si="7"/>
        <v>-15</v>
      </c>
      <c r="J11" s="11">
        <v>1</v>
      </c>
      <c r="K11" s="11">
        <f t="shared" si="8"/>
        <v>1</v>
      </c>
      <c r="L11" s="11" t="str">
        <f>'DA - 58'!H15</f>
        <v xml:space="preserve">Aerobar Bolts: Top 55mm; Bottom N/A </v>
      </c>
      <c r="M11" s="11" t="str">
        <f t="array" ref="M11">INDEX($D$8:$E$907, SMALL(IF($D$8:$D$907=$G$5, ROW($D$8:$D$907)-MIN(ROW($D$8:$D$907))+1), ROW(4:4)),2)</f>
        <v>Frame: 54 ----- Stem: 90x0  ----- Carbon Aerobar + 20 + bridge + 5</v>
      </c>
      <c r="N11" s="11" t="str">
        <f t="shared" si="9"/>
        <v>Frame: 54 ----- Stem: 90x0  ----- Carbon Aerobar + 20 + bridge + 5</v>
      </c>
      <c r="O11" s="11" t="str">
        <f t="shared" si="10"/>
        <v>Frame: 54 ----- Stem: 90x0  ----- Carbon Aerobar + 20 + bridge + 5  with reach:-10</v>
      </c>
      <c r="P11" s="11" t="str">
        <f t="shared" si="11"/>
        <v>Frame: 54 ----- Stem: 90x0  ----- Carbon Aerobar + 20 + bridge + 5</v>
      </c>
      <c r="Q11" s="11" t="str">
        <f t="shared" si="12"/>
        <v/>
      </c>
      <c r="R11" s="11" t="str">
        <f t="shared" si="13"/>
        <v/>
      </c>
    </row>
    <row r="12" spans="1:35" x14ac:dyDescent="0.25">
      <c r="A12" s="11">
        <f>'DA - 58'!C16</f>
        <v>485</v>
      </c>
      <c r="B12" s="11">
        <f>'DA - 58'!D16</f>
        <v>455</v>
      </c>
      <c r="C12" s="11">
        <f>'DA - 58'!E16</f>
        <v>535</v>
      </c>
      <c r="D12" s="11">
        <f>'DA - 58'!G16</f>
        <v>650</v>
      </c>
      <c r="E12" s="11" t="str">
        <f>'DA - 58'!B16</f>
        <v>Frame: 58 ----- Stem: 70x30  ----- Carbon Aerobar + 20</v>
      </c>
      <c r="F12" s="11">
        <f t="shared" si="4"/>
        <v>1</v>
      </c>
      <c r="G12" s="11" t="str">
        <f t="shared" si="5"/>
        <v/>
      </c>
      <c r="H12" s="11" t="str">
        <f t="shared" si="6"/>
        <v/>
      </c>
      <c r="I12" s="11">
        <f t="shared" si="7"/>
        <v>-15</v>
      </c>
      <c r="J12" s="11">
        <v>1</v>
      </c>
      <c r="K12" s="11">
        <f t="shared" si="8"/>
        <v>1</v>
      </c>
      <c r="L12" s="11" t="str">
        <f>'DA - 58'!H16</f>
        <v xml:space="preserve">Aerobar Bolts: Top 20mm; Bottom 30mm </v>
      </c>
      <c r="M12" s="11" t="str">
        <f t="array" ref="M12">INDEX($D$8:$E$907, SMALL(IF($D$8:$D$907=$G$5, ROW($D$8:$D$907)-MIN(ROW($D$8:$D$907))+1), ROW(5:5)),2)</f>
        <v>Frame: 54 ----- Stem: 110x0  ----- Carbon Aerobar + 30</v>
      </c>
      <c r="N12" s="11" t="str">
        <f t="shared" si="9"/>
        <v>Frame: 54 ----- Stem: 110x0  ----- Carbon Aerobar + 30</v>
      </c>
      <c r="O12" s="11" t="str">
        <f t="shared" si="10"/>
        <v>Frame: 54 ----- Stem: 110x0  ----- Carbon Aerobar + 30  with reach:-30</v>
      </c>
      <c r="P12" s="11" t="str">
        <f t="shared" si="11"/>
        <v/>
      </c>
      <c r="Q12" s="11" t="str">
        <f t="shared" si="12"/>
        <v>Frame: 54 ----- Stem: 110x0  ----- Carbon Aerobar + 30</v>
      </c>
      <c r="R12" s="11" t="str">
        <f t="shared" si="13"/>
        <v/>
      </c>
      <c r="U12" s="11" t="s">
        <v>29</v>
      </c>
      <c r="V12" s="11" t="s">
        <v>21</v>
      </c>
      <c r="W12" s="11" t="s">
        <v>22</v>
      </c>
      <c r="X12" s="11" t="s">
        <v>21</v>
      </c>
      <c r="Y12" s="11" t="s">
        <v>22</v>
      </c>
    </row>
    <row r="13" spans="1:35" x14ac:dyDescent="0.25">
      <c r="A13" s="11">
        <f>'DA - 58'!C17</f>
        <v>485</v>
      </c>
      <c r="B13" s="11">
        <f>'DA - 58'!D17</f>
        <v>455</v>
      </c>
      <c r="C13" s="11">
        <f>'DA - 58'!E17</f>
        <v>535</v>
      </c>
      <c r="D13" s="11">
        <f>'DA - 58'!G17</f>
        <v>655</v>
      </c>
      <c r="E13" s="11" t="str">
        <f>'DA - 58'!B17</f>
        <v>Frame: 58 ----- Stem: 70x30  ----- Carbon Aerobar + 20 + 5</v>
      </c>
      <c r="F13" s="11">
        <f t="shared" si="4"/>
        <v>1</v>
      </c>
      <c r="G13" s="11" t="str">
        <f t="shared" si="5"/>
        <v/>
      </c>
      <c r="H13" s="11" t="str">
        <f t="shared" si="6"/>
        <v/>
      </c>
      <c r="I13" s="11">
        <f t="shared" si="7"/>
        <v>-15</v>
      </c>
      <c r="J13" s="11">
        <v>1</v>
      </c>
      <c r="K13" s="11">
        <f t="shared" si="8"/>
        <v>1</v>
      </c>
      <c r="L13" s="11" t="str">
        <f>'DA - 58'!H17</f>
        <v xml:space="preserve">Aerobar Bolts: Top 25mm; Bottom 30mm </v>
      </c>
      <c r="M13" s="11" t="str">
        <f t="array" ref="M13">INDEX($D$8:$E$907, SMALL(IF($D$8:$D$907=$G$5, ROW($D$8:$D$907)-MIN(ROW($D$8:$D$907))+1), ROW(6:6)),2)</f>
        <v>Frame: 54 ----- Stem: 110x0  ----- Carbon Aerobar + 20 + bridge + 5</v>
      </c>
      <c r="N13" s="11" t="str">
        <f t="shared" si="9"/>
        <v>Frame: 54 ----- Stem: 110x0  ----- Carbon Aerobar + 20 + bridge + 5</v>
      </c>
      <c r="O13" s="11" t="str">
        <f t="shared" si="10"/>
        <v>Frame: 54 ----- Stem: 110x0  ----- Carbon Aerobar + 20 + bridge + 5  with reach:-30</v>
      </c>
      <c r="P13" s="11" t="str">
        <f t="shared" si="11"/>
        <v>Frame: 54 ----- Stem: 110x0  ----- Carbon Aerobar + 20 + bridge + 5</v>
      </c>
      <c r="Q13" s="11" t="str">
        <f t="shared" si="12"/>
        <v/>
      </c>
      <c r="R13" s="11" t="str">
        <f t="shared" si="13"/>
        <v/>
      </c>
      <c r="U13" s="11" t="s">
        <v>3</v>
      </c>
      <c r="V13" s="11">
        <f>V5+45</f>
        <v>440</v>
      </c>
      <c r="W13" s="11">
        <f>W5+45</f>
        <v>520</v>
      </c>
      <c r="X13" s="11">
        <f>IF($F$5&gt;V13,1,0)</f>
        <v>1</v>
      </c>
      <c r="Y13" s="11">
        <f>IF($F$5&lt;W13,1,0)</f>
        <v>1</v>
      </c>
    </row>
    <row r="14" spans="1:35" x14ac:dyDescent="0.25">
      <c r="A14" s="11">
        <f>'DA - 58'!C18</f>
        <v>485</v>
      </c>
      <c r="B14" s="11">
        <f>'DA - 58'!D18</f>
        <v>455</v>
      </c>
      <c r="C14" s="11">
        <f>'DA - 58'!E18</f>
        <v>535</v>
      </c>
      <c r="D14" s="11">
        <f>'DA - 58'!G18</f>
        <v>655</v>
      </c>
      <c r="E14" s="11" t="str">
        <f>'DA - 58'!B18</f>
        <v>Frame: 58 ----- Stem: 70x30  ----- Carbon Aerobar + 20 + bridge</v>
      </c>
      <c r="F14" s="11">
        <f t="shared" si="4"/>
        <v>1</v>
      </c>
      <c r="G14" s="11" t="str">
        <f t="shared" si="5"/>
        <v/>
      </c>
      <c r="H14" s="11" t="str">
        <f t="shared" si="6"/>
        <v/>
      </c>
      <c r="I14" s="11">
        <f t="shared" si="7"/>
        <v>-15</v>
      </c>
      <c r="J14" s="11">
        <v>1</v>
      </c>
      <c r="K14" s="11">
        <f t="shared" si="8"/>
        <v>1</v>
      </c>
      <c r="L14" s="11" t="str">
        <f>'DA - 58'!H18</f>
        <v xml:space="preserve">Aerobar Bolts: Top 25mm; Bottom 30mm </v>
      </c>
      <c r="M14" s="11" t="str">
        <f t="array" ref="M14">INDEX($D$8:$E$907, SMALL(IF($D$8:$D$907=$G$5, ROW($D$8:$D$907)-MIN(ROW($D$8:$D$907))+1), ROW(7:7)),2)</f>
        <v>Frame: 54 ----- Stem: 90x0  ----- Aluminium Aerobar + 5 + 10</v>
      </c>
      <c r="N14" s="11" t="str">
        <f t="shared" si="9"/>
        <v>Frame: 54 ----- Stem: 90x0  ----- Aluminium Aerobar + 5 + 10</v>
      </c>
      <c r="O14" s="11" t="str">
        <f t="shared" si="10"/>
        <v>Frame: 54 ----- Stem: 90x0  ----- Aluminium Aerobar + 5 + 10  with reach:-10</v>
      </c>
      <c r="P14" s="11" t="str">
        <f t="shared" si="11"/>
        <v>Frame: 54 ----- Stem: 90x0  ----- Aluminium Aerobar + 5 + 10</v>
      </c>
      <c r="Q14" s="11" t="str">
        <f t="shared" si="12"/>
        <v/>
      </c>
      <c r="R14" s="11" t="str">
        <f t="shared" si="13"/>
        <v/>
      </c>
      <c r="U14" s="11" t="s">
        <v>4</v>
      </c>
      <c r="V14" s="11">
        <f t="shared" ref="V14:W17" si="14">V6+45</f>
        <v>450</v>
      </c>
      <c r="W14" s="11">
        <f t="shared" si="14"/>
        <v>530</v>
      </c>
      <c r="X14" s="11">
        <f>IF($F$5&gt;V14,1,0)</f>
        <v>1</v>
      </c>
      <c r="Y14" s="11">
        <f>IF($F$5&lt;W14,1,0)</f>
        <v>1</v>
      </c>
    </row>
    <row r="15" spans="1:35" x14ac:dyDescent="0.25">
      <c r="A15" s="11">
        <f>'DA - 58'!C19</f>
        <v>485</v>
      </c>
      <c r="B15" s="11">
        <f>'DA - 58'!D19</f>
        <v>455</v>
      </c>
      <c r="C15" s="11">
        <f>'DA - 58'!E19</f>
        <v>535</v>
      </c>
      <c r="D15" s="11">
        <f>'DA - 58'!G19</f>
        <v>660</v>
      </c>
      <c r="E15" s="11" t="str">
        <f>'DA - 58'!B19</f>
        <v>Frame: 58 ----- Stem: 70x30  ----- Carbon Aerobar + 30</v>
      </c>
      <c r="F15" s="11">
        <f t="shared" si="4"/>
        <v>1</v>
      </c>
      <c r="G15" s="11">
        <f t="shared" si="5"/>
        <v>1</v>
      </c>
      <c r="H15" s="11" t="str">
        <f t="shared" si="6"/>
        <v/>
      </c>
      <c r="I15" s="11">
        <f t="shared" si="7"/>
        <v>-15</v>
      </c>
      <c r="J15" s="11">
        <v>1</v>
      </c>
      <c r="K15" s="11">
        <f t="shared" si="8"/>
        <v>1</v>
      </c>
      <c r="L15" s="11" t="str">
        <f>'DA - 58'!H19</f>
        <v xml:space="preserve">Aerobar Bolts: Top 25mm; Bottom 30mm </v>
      </c>
      <c r="M15" s="11" t="str">
        <f t="array" ref="M15">INDEX($D$8:$E$907, SMALL(IF($D$8:$D$907=$G$5, ROW($D$8:$D$907)-MIN(ROW($D$8:$D$907))+1), ROW(8:8)),2)</f>
        <v>Frame: 54 ----- Stem: 110x0  ----- Aluminium Aerobar + 5 + 10</v>
      </c>
      <c r="N15" s="11" t="str">
        <f t="shared" si="9"/>
        <v>Frame: 54 ----- Stem: 110x0  ----- Aluminium Aerobar + 5 + 10</v>
      </c>
      <c r="O15" s="11" t="str">
        <f t="shared" si="10"/>
        <v>Frame: 54 ----- Stem: 110x0  ----- Aluminium Aerobar + 5 + 10  with reach:-30</v>
      </c>
      <c r="P15" s="11" t="str">
        <f t="shared" si="11"/>
        <v>Frame: 54 ----- Stem: 110x0  ----- Aluminium Aerobar + 5 + 10</v>
      </c>
      <c r="Q15" s="11" t="str">
        <f t="shared" si="12"/>
        <v/>
      </c>
      <c r="R15" s="11" t="str">
        <f t="shared" si="13"/>
        <v/>
      </c>
      <c r="U15" s="11" t="s">
        <v>5</v>
      </c>
      <c r="V15" s="11">
        <f t="shared" si="14"/>
        <v>465</v>
      </c>
      <c r="W15" s="11">
        <f t="shared" si="14"/>
        <v>545</v>
      </c>
      <c r="X15" s="11">
        <f>IF($F$5&gt;V15,1,0)</f>
        <v>1</v>
      </c>
      <c r="Y15" s="11">
        <f>IF($F$5&lt;W15,1,0)</f>
        <v>1</v>
      </c>
    </row>
    <row r="16" spans="1:35" x14ac:dyDescent="0.25">
      <c r="A16" s="11">
        <f>'DA - 58'!C20</f>
        <v>485</v>
      </c>
      <c r="B16" s="11">
        <f>'DA - 58'!D20</f>
        <v>455</v>
      </c>
      <c r="C16" s="11">
        <f>'DA - 58'!E20</f>
        <v>535</v>
      </c>
      <c r="D16" s="11">
        <f>'DA - 58'!G20</f>
        <v>660</v>
      </c>
      <c r="E16" s="11" t="str">
        <f>'DA - 58'!B20</f>
        <v>Frame: 58 ----- Stem: 70x30  ----- Carbon Aerobar + 20 + bridge + 5</v>
      </c>
      <c r="F16" s="11">
        <f t="shared" si="4"/>
        <v>1</v>
      </c>
      <c r="G16" s="11" t="str">
        <f t="shared" si="5"/>
        <v/>
      </c>
      <c r="H16" s="11" t="str">
        <f t="shared" si="6"/>
        <v/>
      </c>
      <c r="I16" s="11">
        <f t="shared" si="7"/>
        <v>-15</v>
      </c>
      <c r="J16" s="11">
        <v>1</v>
      </c>
      <c r="K16" s="11">
        <f t="shared" si="8"/>
        <v>1</v>
      </c>
      <c r="L16" s="11" t="str">
        <f>'DA - 58'!H20</f>
        <v xml:space="preserve">Aerobar Bolts: Top 30mm; Bottom 30mm </v>
      </c>
      <c r="M16" s="11" t="str">
        <f t="array" ref="M16">INDEX($D$8:$E$907, SMALL(IF($D$8:$D$907=$G$5, ROW($D$8:$D$907)-MIN(ROW($D$8:$D$907))+1), ROW(9:9)),2)</f>
        <v>Frame: 51 ----- Stem: 70x30  ----- Carbon Aerobar + 10</v>
      </c>
      <c r="N16" s="11" t="str">
        <f t="shared" si="9"/>
        <v>Frame: 51 ----- Stem: 70x30  ----- Carbon Aerobar + 10</v>
      </c>
      <c r="O16" s="11" t="str">
        <f t="shared" si="10"/>
        <v>Frame: 51 ----- Stem: 70x30  ----- Carbon Aerobar + 10  with reach:35</v>
      </c>
      <c r="P16" s="11" t="str">
        <f t="shared" si="11"/>
        <v>Frame: 51 ----- Stem: 70x30  ----- Carbon Aerobar + 10</v>
      </c>
      <c r="Q16" s="11" t="str">
        <f t="shared" si="12"/>
        <v/>
      </c>
      <c r="R16" s="11" t="str">
        <f t="shared" si="13"/>
        <v/>
      </c>
      <c r="U16" s="11" t="s">
        <v>6</v>
      </c>
      <c r="V16" s="11">
        <f t="shared" si="14"/>
        <v>485</v>
      </c>
      <c r="W16" s="11">
        <f t="shared" si="14"/>
        <v>565</v>
      </c>
      <c r="X16" s="11">
        <f>IF($F$5&gt;V16,1,0)</f>
        <v>0</v>
      </c>
      <c r="Y16" s="11">
        <f>IF($F$5&lt;W16,1,0)</f>
        <v>1</v>
      </c>
    </row>
    <row r="17" spans="1:25" x14ac:dyDescent="0.25">
      <c r="A17" s="11">
        <f>'DA - 58'!C21</f>
        <v>485</v>
      </c>
      <c r="B17" s="11">
        <f>'DA - 58'!D21</f>
        <v>455</v>
      </c>
      <c r="C17" s="11">
        <f>'DA - 58'!E21</f>
        <v>535</v>
      </c>
      <c r="D17" s="11">
        <f>'DA - 58'!G21</f>
        <v>665</v>
      </c>
      <c r="E17" s="11" t="str">
        <f>'DA - 58'!B21</f>
        <v>Frame: 58 ----- Stem: 70x30  ----- Carbon Aerobar + 30 + bridge</v>
      </c>
      <c r="F17" s="11">
        <f t="shared" si="4"/>
        <v>1</v>
      </c>
      <c r="G17" s="11">
        <f t="shared" si="5"/>
        <v>1</v>
      </c>
      <c r="H17" s="11" t="str">
        <f t="shared" si="6"/>
        <v/>
      </c>
      <c r="I17" s="11">
        <f t="shared" si="7"/>
        <v>-15</v>
      </c>
      <c r="J17" s="11">
        <v>1</v>
      </c>
      <c r="K17" s="11">
        <f t="shared" si="8"/>
        <v>1</v>
      </c>
      <c r="L17" s="11" t="str">
        <f>'DA - 58'!H21</f>
        <v xml:space="preserve">Aerobar Bolts: Top 30mm; Bottom 30mm </v>
      </c>
      <c r="M17" s="11" t="str">
        <f t="array" ref="M17">INDEX($D$8:$E$907, SMALL(IF($D$8:$D$907=$G$5, ROW($D$8:$D$907)-MIN(ROW($D$8:$D$907))+1), ROW(10:10)),2)</f>
        <v>Frame: 51 ----- Stem: 100x30  ----- Carbon Aerobar + 10</v>
      </c>
      <c r="N17" s="11" t="str">
        <f t="shared" si="9"/>
        <v>Frame: 51 ----- Stem: 100x30  ----- Carbon Aerobar + 10</v>
      </c>
      <c r="O17" s="11" t="str">
        <f t="shared" si="10"/>
        <v>Frame: 51 ----- Stem: 100x30  ----- Carbon Aerobar + 10  with reach:5</v>
      </c>
      <c r="P17" s="11" t="str">
        <f t="shared" si="11"/>
        <v>Frame: 51 ----- Stem: 100x30  ----- Carbon Aerobar + 10</v>
      </c>
      <c r="Q17" s="11" t="str">
        <f t="shared" si="12"/>
        <v/>
      </c>
      <c r="R17" s="11" t="str">
        <f t="shared" si="13"/>
        <v/>
      </c>
      <c r="U17" s="11" t="s">
        <v>7</v>
      </c>
      <c r="V17" s="11">
        <f t="shared" si="14"/>
        <v>505</v>
      </c>
      <c r="W17" s="11">
        <f t="shared" si="14"/>
        <v>590</v>
      </c>
      <c r="X17" s="11">
        <f>IF($F$5&gt;V17,1,0)</f>
        <v>0</v>
      </c>
      <c r="Y17" s="11">
        <f>IF($F$5&lt;W17,1,0)</f>
        <v>1</v>
      </c>
    </row>
    <row r="18" spans="1:25" x14ac:dyDescent="0.25">
      <c r="A18" s="11">
        <f>'DA - 58'!C22</f>
        <v>485</v>
      </c>
      <c r="B18" s="11">
        <f>'DA - 58'!D22</f>
        <v>455</v>
      </c>
      <c r="C18" s="11">
        <f>'DA - 58'!E22</f>
        <v>535</v>
      </c>
      <c r="D18" s="11">
        <f>'DA - 58'!G22</f>
        <v>670</v>
      </c>
      <c r="E18" s="11" t="str">
        <f>'DA - 58'!B22</f>
        <v>Frame: 58 ----- Stem: 70x30  ----- Carbon Aerobar + 30 + bridge + 5</v>
      </c>
      <c r="F18" s="11">
        <f t="shared" si="4"/>
        <v>1</v>
      </c>
      <c r="G18" s="11">
        <f t="shared" si="5"/>
        <v>1</v>
      </c>
      <c r="H18" s="11" t="str">
        <f t="shared" si="6"/>
        <v/>
      </c>
      <c r="I18" s="11">
        <f t="shared" si="7"/>
        <v>-15</v>
      </c>
      <c r="J18" s="11">
        <v>1</v>
      </c>
      <c r="K18" s="11">
        <f t="shared" si="8"/>
        <v>1</v>
      </c>
      <c r="L18" s="11" t="str">
        <f>'DA - 58'!H22</f>
        <v xml:space="preserve">Aerobar Bolts: Top 35mm; Bottom 30mm </v>
      </c>
      <c r="M18" s="11" t="str">
        <f t="array" ref="M18">INDEX($D$8:$E$907, SMALL(IF($D$8:$D$907=$G$5, ROW($D$8:$D$907)-MIN(ROW($D$8:$D$907))+1), ROW(11:11)),2)</f>
        <v>Frame: 51 ----- Stem: 90x0  ----- Carbon Aerobar + 30 + bridge + 5</v>
      </c>
      <c r="N18" s="11" t="str">
        <f t="shared" si="9"/>
        <v>Frame: 51 ----- Stem: 90x0  ----- Carbon Aerobar + 30 + bridge + 5</v>
      </c>
      <c r="O18" s="11" t="str">
        <f t="shared" si="10"/>
        <v>Frame: 51 ----- Stem: 90x0  ----- Carbon Aerobar + 30 + bridge + 5  with reach:10</v>
      </c>
      <c r="P18" s="11" t="str">
        <f t="shared" si="11"/>
        <v/>
      </c>
      <c r="Q18" s="11" t="str">
        <f t="shared" si="12"/>
        <v>Frame: 51 ----- Stem: 90x0  ----- Carbon Aerobar + 30 + bridge + 5</v>
      </c>
      <c r="R18" s="11" t="str">
        <f t="shared" si="13"/>
        <v/>
      </c>
    </row>
    <row r="19" spans="1:25" x14ac:dyDescent="0.25">
      <c r="A19" s="11">
        <f>'DA - 58'!C23</f>
        <v>485</v>
      </c>
      <c r="B19" s="11">
        <f>'DA - 58'!D23</f>
        <v>455</v>
      </c>
      <c r="C19" s="11">
        <f>'DA - 58'!E23</f>
        <v>535</v>
      </c>
      <c r="D19" s="11">
        <f>'DA - 58'!G23</f>
        <v>675</v>
      </c>
      <c r="E19" s="11" t="str">
        <f>'DA - 58'!B23</f>
        <v>Frame: 58 ----- Stem: 70x30  ----- Carbon Aerobar + 40 + bridge</v>
      </c>
      <c r="F19" s="11">
        <f t="shared" si="4"/>
        <v>1</v>
      </c>
      <c r="G19" s="11" t="str">
        <f t="shared" si="5"/>
        <v/>
      </c>
      <c r="H19" s="11">
        <f t="shared" si="6"/>
        <v>1</v>
      </c>
      <c r="I19" s="11">
        <f t="shared" si="7"/>
        <v>-15</v>
      </c>
      <c r="J19" s="11">
        <v>1</v>
      </c>
      <c r="K19" s="11">
        <f t="shared" si="8"/>
        <v>1</v>
      </c>
      <c r="L19" s="11" t="str">
        <f>'DA - 58'!H23</f>
        <v xml:space="preserve">Aerobar Bolts: Top 35mm; Bottom 30mm </v>
      </c>
      <c r="M19" s="11" t="str">
        <f t="array" ref="M19">INDEX($D$8:$E$907, SMALL(IF($D$8:$D$907=$G$5, ROW($D$8:$D$907)-MIN(ROW($D$8:$D$907))+1), ROW(12:12)),2)</f>
        <v>Frame: 51 ----- Stem: 110x0  ----- Carbon Aerobar + 30 + bridge + 5</v>
      </c>
      <c r="N19" s="11" t="str">
        <f t="shared" si="9"/>
        <v>Frame: 51 ----- Stem: 110x0  ----- Carbon Aerobar + 30 + bridge + 5</v>
      </c>
      <c r="O19" s="11" t="str">
        <f t="shared" si="10"/>
        <v>Frame: 51 ----- Stem: 110x0  ----- Carbon Aerobar + 30 + bridge + 5  with reach:-10</v>
      </c>
      <c r="P19" s="11" t="str">
        <f t="shared" si="11"/>
        <v/>
      </c>
      <c r="Q19" s="11" t="str">
        <f t="shared" si="12"/>
        <v>Frame: 51 ----- Stem: 110x0  ----- Carbon Aerobar + 30 + bridge + 5</v>
      </c>
      <c r="R19" s="11" t="str">
        <f t="shared" si="13"/>
        <v/>
      </c>
      <c r="U19" s="11" t="s">
        <v>32</v>
      </c>
      <c r="V19" s="11" t="s">
        <v>35</v>
      </c>
      <c r="W19" s="11">
        <v>31.8</v>
      </c>
      <c r="X19" s="11" t="s">
        <v>69</v>
      </c>
    </row>
    <row r="20" spans="1:25" x14ac:dyDescent="0.25">
      <c r="A20" s="11">
        <f>'DA - 58'!C24</f>
        <v>485</v>
      </c>
      <c r="B20" s="11">
        <f>'DA - 58'!D24</f>
        <v>455</v>
      </c>
      <c r="C20" s="11">
        <f>'DA - 58'!E24</f>
        <v>535</v>
      </c>
      <c r="D20" s="11">
        <f>'DA - 58'!G24</f>
        <v>680</v>
      </c>
      <c r="E20" s="11" t="str">
        <f>'DA - 58'!B24</f>
        <v>Frame: 58 ----- Stem: 70x30  ----- Carbon Aerobar + 40 + bridge + 5</v>
      </c>
      <c r="F20" s="11">
        <f t="shared" si="4"/>
        <v>1</v>
      </c>
      <c r="G20" s="11" t="str">
        <f t="shared" si="5"/>
        <v/>
      </c>
      <c r="H20" s="11">
        <f t="shared" si="6"/>
        <v>1</v>
      </c>
      <c r="I20" s="11">
        <f t="shared" si="7"/>
        <v>-15</v>
      </c>
      <c r="J20" s="11">
        <v>1</v>
      </c>
      <c r="K20" s="11">
        <f t="shared" si="8"/>
        <v>1</v>
      </c>
      <c r="L20" s="11" t="str">
        <f>'DA - 58'!H24</f>
        <v xml:space="preserve">Aerobar Bolts: Top 35mm; Bottom 30mm </v>
      </c>
      <c r="M20" s="11" t="str">
        <f t="array" ref="M20">INDEX($D$8:$E$907, SMALL(IF($D$8:$D$907=$G$5, ROW($D$8:$D$907)-MIN(ROW($D$8:$D$907))+1), ROW(13:13)),2)</f>
        <v>Frame: 51 ----- Stem: 90x0  ----- Aluminium Aerobar + 20 + 5</v>
      </c>
      <c r="N20" s="11" t="str">
        <f t="shared" si="9"/>
        <v>Frame: 51 ----- Stem: 90x0  ----- Aluminium Aerobar + 20 + 5</v>
      </c>
      <c r="O20" s="11" t="str">
        <f t="shared" si="10"/>
        <v>Frame: 51 ----- Stem: 90x0  ----- Aluminium Aerobar + 20 + 5  with reach:10</v>
      </c>
      <c r="P20" s="11" t="str">
        <f t="shared" si="11"/>
        <v>Frame: 51 ----- Stem: 90x0  ----- Aluminium Aerobar + 20 + 5</v>
      </c>
      <c r="Q20" s="11" t="str">
        <f t="shared" si="12"/>
        <v/>
      </c>
      <c r="R20" s="11" t="str">
        <f t="shared" si="13"/>
        <v/>
      </c>
      <c r="U20" s="11" t="s">
        <v>3</v>
      </c>
      <c r="V20" s="11">
        <f>'IA - XS'!$I$6</f>
        <v>426</v>
      </c>
      <c r="W20" s="11">
        <f>'IA - XS'!$I$7</f>
        <v>471</v>
      </c>
      <c r="X20" s="11">
        <f>'IA - XS'!$I$8</f>
        <v>469</v>
      </c>
    </row>
    <row r="21" spans="1:25" x14ac:dyDescent="0.25">
      <c r="A21" s="11">
        <f>'DA - 58'!C25</f>
        <v>485</v>
      </c>
      <c r="B21" s="11">
        <f>'DA - 58'!D25</f>
        <v>455</v>
      </c>
      <c r="C21" s="11">
        <f>'DA - 58'!E25</f>
        <v>535</v>
      </c>
      <c r="D21" s="11">
        <f>'DA - 58'!G25</f>
        <v>685</v>
      </c>
      <c r="E21" s="11" t="str">
        <f>'DA - 58'!B25</f>
        <v>Frame: 58 ----- Stem: 70x30  ----- Carbon Aerobar + 40 + bridge + 10</v>
      </c>
      <c r="F21" s="11">
        <f t="shared" si="4"/>
        <v>1</v>
      </c>
      <c r="G21" s="11" t="str">
        <f t="shared" si="5"/>
        <v/>
      </c>
      <c r="H21" s="11">
        <f t="shared" si="6"/>
        <v>1</v>
      </c>
      <c r="I21" s="11">
        <f t="shared" si="7"/>
        <v>-15</v>
      </c>
      <c r="J21" s="11">
        <v>1</v>
      </c>
      <c r="K21" s="11">
        <f t="shared" si="8"/>
        <v>1</v>
      </c>
      <c r="L21" s="11" t="str">
        <f>'DA - 58'!H25</f>
        <v xml:space="preserve">Aerobar Bolts: Top 40mm; Bottom 30mm </v>
      </c>
      <c r="M21" s="11" t="str">
        <f t="array" ref="M21">INDEX($D$8:$E$907, SMALL(IF($D$8:$D$907=$G$5, ROW($D$8:$D$907)-MIN(ROW($D$8:$D$907))+1), ROW(14:14)),2)</f>
        <v>Frame: 51 ----- Stem: 90x0  ----- Aluminium Aerobar + 20 + bridge</v>
      </c>
      <c r="N21" s="11" t="str">
        <f t="shared" si="9"/>
        <v>Frame: 51 ----- Stem: 90x0  ----- Aluminium Aerobar + 20 + bridge</v>
      </c>
      <c r="O21" s="11" t="str">
        <f t="shared" si="10"/>
        <v>Frame: 51 ----- Stem: 90x0  ----- Aluminium Aerobar + 20 + bridge  with reach:10</v>
      </c>
      <c r="P21" s="11" t="str">
        <f t="shared" si="11"/>
        <v>Frame: 51 ----- Stem: 90x0  ----- Aluminium Aerobar + 20 + bridge</v>
      </c>
      <c r="Q21" s="11" t="str">
        <f t="shared" si="12"/>
        <v/>
      </c>
      <c r="R21" s="11" t="str">
        <f t="shared" si="13"/>
        <v/>
      </c>
      <c r="U21" s="11" t="s">
        <v>4</v>
      </c>
      <c r="V21" s="11">
        <f>'IA - Small'!$I$6</f>
        <v>434</v>
      </c>
      <c r="W21" s="11">
        <f>'IA - Small'!$I$7</f>
        <v>479</v>
      </c>
      <c r="X21" s="11">
        <f>'IA - Small'!$I$8</f>
        <v>477</v>
      </c>
    </row>
    <row r="22" spans="1:25" x14ac:dyDescent="0.25">
      <c r="A22" s="11">
        <f>'DA - 58'!C26</f>
        <v>485</v>
      </c>
      <c r="B22" s="11">
        <f>'DA - 58'!D26</f>
        <v>455</v>
      </c>
      <c r="C22" s="11">
        <f>'DA - 58'!E26</f>
        <v>535</v>
      </c>
      <c r="D22" s="11">
        <f>'DA - 58'!G26</f>
        <v>690</v>
      </c>
      <c r="E22" s="11" t="str">
        <f>'DA - 58'!B26</f>
        <v>Frame: 58 ----- Stem: 70x30  ----- Carbon Aerobar + 40 + bridge + 10 + 5</v>
      </c>
      <c r="F22" s="11">
        <f t="shared" si="4"/>
        <v>1</v>
      </c>
      <c r="G22" s="11" t="str">
        <f t="shared" si="5"/>
        <v/>
      </c>
      <c r="H22" s="11">
        <f t="shared" si="6"/>
        <v>1</v>
      </c>
      <c r="I22" s="11">
        <f t="shared" si="7"/>
        <v>-15</v>
      </c>
      <c r="J22" s="11">
        <v>1</v>
      </c>
      <c r="K22" s="11">
        <f t="shared" si="8"/>
        <v>1</v>
      </c>
      <c r="L22" s="11" t="str">
        <f>'DA - 58'!H26</f>
        <v xml:space="preserve">Aerobar Bolts: Top 45mm; Bottom 30mm </v>
      </c>
      <c r="M22" s="11" t="str">
        <f t="array" ref="M22">INDEX($D$8:$E$907, SMALL(IF($D$8:$D$907=$G$5, ROW($D$8:$D$907)-MIN(ROW($D$8:$D$907))+1), ROW(15:15)),2)</f>
        <v>Frame: 51 ----- Stem: 110x0  ----- Aluminium Aerobar + 20 + 5</v>
      </c>
      <c r="N22" s="11" t="str">
        <f t="shared" si="9"/>
        <v>Frame: 51 ----- Stem: 110x0  ----- Aluminium Aerobar + 20 + 5</v>
      </c>
      <c r="O22" s="11" t="str">
        <f t="shared" si="10"/>
        <v>Frame: 51 ----- Stem: 110x0  ----- Aluminium Aerobar + 20 + 5  with reach:-10</v>
      </c>
      <c r="P22" s="11" t="str">
        <f t="shared" si="11"/>
        <v>Frame: 51 ----- Stem: 110x0  ----- Aluminium Aerobar + 20 + 5</v>
      </c>
      <c r="Q22" s="11" t="str">
        <f t="shared" si="12"/>
        <v/>
      </c>
      <c r="R22" s="11" t="str">
        <f t="shared" si="13"/>
        <v/>
      </c>
      <c r="U22" s="11" t="s">
        <v>5</v>
      </c>
      <c r="V22" s="11">
        <f>'IA - Medium'!$I$6</f>
        <v>450</v>
      </c>
      <c r="W22" s="11">
        <f>'IA - Medium'!$I$7</f>
        <v>495</v>
      </c>
      <c r="X22" s="11">
        <f>'IA - Medium'!$I$8</f>
        <v>493</v>
      </c>
    </row>
    <row r="23" spans="1:25" x14ac:dyDescent="0.25">
      <c r="A23" s="11">
        <f>'DA - 58'!C27</f>
        <v>475</v>
      </c>
      <c r="B23" s="11">
        <f>'DA - 58'!D27</f>
        <v>445</v>
      </c>
      <c r="C23" s="11">
        <f>'DA - 58'!E27</f>
        <v>525</v>
      </c>
      <c r="D23" s="11">
        <f>'DA - 58'!G27</f>
        <v>0</v>
      </c>
      <c r="E23" s="11" t="str">
        <f>'DA - 58'!B27</f>
        <v>Frame: 58 ----- Stem: 70x60  ----- Carbon Aerobar</v>
      </c>
      <c r="F23" s="11">
        <f t="shared" si="4"/>
        <v>1</v>
      </c>
      <c r="G23" s="11" t="str">
        <f>IF(ISNUMBER(FIND(" 30",E23)),1,"")</f>
        <v/>
      </c>
      <c r="H23" s="11" t="str">
        <f t="shared" si="6"/>
        <v/>
      </c>
      <c r="I23" s="11">
        <f t="shared" si="7"/>
        <v>-5</v>
      </c>
      <c r="J23" s="11">
        <v>1</v>
      </c>
      <c r="K23" s="11">
        <f t="shared" si="8"/>
        <v>1</v>
      </c>
      <c r="L23" s="11" t="str">
        <f>'DA - 58'!H27</f>
        <v xml:space="preserve">Aerobar Bolts: Top N/A; Bottom N/A </v>
      </c>
      <c r="M23" s="11" t="str">
        <f t="array" ref="M23">INDEX($D$8:$E$907, SMALL(IF($D$8:$D$907=$G$5, ROW($D$8:$D$907)-MIN(ROW($D$8:$D$907))+1), ROW(16:16)),2)</f>
        <v>Frame: 51 ----- Stem: 110x0  ----- Aluminium Aerobar + 20 + bridge</v>
      </c>
      <c r="N23" s="11" t="str">
        <f t="shared" si="9"/>
        <v>Frame: 51 ----- Stem: 110x0  ----- Aluminium Aerobar + 20 + bridge</v>
      </c>
      <c r="O23" s="11" t="str">
        <f t="shared" si="10"/>
        <v>Frame: 51 ----- Stem: 110x0  ----- Aluminium Aerobar + 20 + bridge  with reach:-10</v>
      </c>
      <c r="P23" s="11" t="str">
        <f t="shared" si="11"/>
        <v>Frame: 51 ----- Stem: 110x0  ----- Aluminium Aerobar + 20 + bridge</v>
      </c>
      <c r="Q23" s="11" t="str">
        <f t="shared" si="12"/>
        <v/>
      </c>
      <c r="R23" s="11" t="str">
        <f t="shared" si="13"/>
        <v/>
      </c>
      <c r="U23" s="11" t="s">
        <v>6</v>
      </c>
      <c r="V23" s="11">
        <f>'IA - Large'!$K$6</f>
        <v>470</v>
      </c>
      <c r="W23" s="11">
        <f>'IA - Large'!$K$7</f>
        <v>515</v>
      </c>
      <c r="X23" s="11">
        <f>'IA - Large'!$K$8</f>
        <v>513</v>
      </c>
    </row>
    <row r="24" spans="1:25" x14ac:dyDescent="0.25">
      <c r="A24" s="11">
        <f>'DA - 58'!C28</f>
        <v>475</v>
      </c>
      <c r="B24" s="11">
        <f>'DA - 58'!D28</f>
        <v>445</v>
      </c>
      <c r="C24" s="11">
        <f>'DA - 58'!E28</f>
        <v>525</v>
      </c>
      <c r="D24" s="11">
        <f>'DA - 58'!G28</f>
        <v>665</v>
      </c>
      <c r="E24" s="11" t="str">
        <f>'DA - 58'!B28</f>
        <v>Frame: 58 ----- Stem: 70x60  ----- Carbon Aerobar + 5</v>
      </c>
      <c r="F24" s="11">
        <f t="shared" si="4"/>
        <v>1</v>
      </c>
      <c r="G24" s="11" t="str">
        <f t="shared" si="5"/>
        <v/>
      </c>
      <c r="H24" s="11" t="str">
        <f t="shared" si="6"/>
        <v/>
      </c>
      <c r="I24" s="11">
        <f t="shared" si="7"/>
        <v>-5</v>
      </c>
      <c r="J24" s="11">
        <v>1</v>
      </c>
      <c r="K24" s="11">
        <f t="shared" si="8"/>
        <v>1</v>
      </c>
      <c r="L24" s="11" t="str">
        <f>'DA - 58'!H28</f>
        <v xml:space="preserve">Aerobar Bolts: Top 45mm; Bottom N/A </v>
      </c>
      <c r="M24" s="11" t="str">
        <f t="array" ref="M24">INDEX($D$8:$E$907, SMALL(IF($D$8:$D$907=$G$5, ROW($D$8:$D$907)-MIN(ROW($D$8:$D$907))+1), ROW(17:17)),2)</f>
        <v>Frame: 47 ----- Stem: 70x60  ----- Carbon Aerobar + 30 + bridge</v>
      </c>
      <c r="N24" s="11" t="str">
        <f t="shared" si="9"/>
        <v/>
      </c>
      <c r="O24" s="11" t="str">
        <f t="shared" si="10"/>
        <v/>
      </c>
      <c r="P24" s="11" t="str">
        <f t="shared" si="11"/>
        <v/>
      </c>
      <c r="Q24" s="11" t="str">
        <f t="shared" si="12"/>
        <v/>
      </c>
      <c r="R24" s="11" t="str">
        <f t="shared" si="13"/>
        <v/>
      </c>
      <c r="U24" s="11" t="s">
        <v>7</v>
      </c>
      <c r="V24" s="11">
        <f>'IA - XL'!$I$6</f>
        <v>492</v>
      </c>
      <c r="W24" s="11">
        <f>'IA - XL'!$I$7</f>
        <v>537</v>
      </c>
      <c r="X24" s="11">
        <f>'IA - XL'!$I$8</f>
        <v>535</v>
      </c>
    </row>
    <row r="25" spans="1:25" x14ac:dyDescent="0.25">
      <c r="A25" s="11">
        <f>'DA - 58'!C29</f>
        <v>475</v>
      </c>
      <c r="B25" s="11">
        <f>'DA - 58'!D29</f>
        <v>445</v>
      </c>
      <c r="C25" s="11">
        <f>'DA - 58'!E29</f>
        <v>525</v>
      </c>
      <c r="D25" s="11">
        <f>'DA - 58'!G29</f>
        <v>670</v>
      </c>
      <c r="E25" s="11" t="str">
        <f>'DA - 58'!B29</f>
        <v>Frame: 58 ----- Stem: 70x60  ----- Carbon Aerobar + 10</v>
      </c>
      <c r="F25" s="11">
        <f t="shared" si="4"/>
        <v>1</v>
      </c>
      <c r="G25" s="11" t="str">
        <f t="shared" si="5"/>
        <v/>
      </c>
      <c r="H25" s="11" t="str">
        <f t="shared" si="6"/>
        <v/>
      </c>
      <c r="I25" s="11">
        <f t="shared" si="7"/>
        <v>-5</v>
      </c>
      <c r="J25" s="11">
        <v>1</v>
      </c>
      <c r="K25" s="11">
        <f t="shared" si="8"/>
        <v>1</v>
      </c>
      <c r="L25" s="11" t="str">
        <f>'DA - 58'!H29</f>
        <v xml:space="preserve">Aerobar Bolts: Top 50mm; Bottom N/A </v>
      </c>
      <c r="M25" s="11" t="str">
        <f t="array" ref="M25">INDEX($D$8:$E$907, SMALL(IF($D$8:$D$907=$G$5, ROW($D$8:$D$907)-MIN(ROW($D$8:$D$907))+1), ROW(18:18)),2)</f>
        <v>Frame: 47 ----- Stem: 100x60  ----- Carbon Aerobar + 30 + bridge</v>
      </c>
      <c r="N25" s="11" t="str">
        <f t="shared" si="9"/>
        <v>Frame: 47 ----- Stem: 100x60  ----- Carbon Aerobar + 30 + bridge</v>
      </c>
      <c r="O25" s="11" t="str">
        <f t="shared" si="10"/>
        <v>Frame: 47 ----- Stem: 100x60  ----- Carbon Aerobar + 30 + bridge  with reach:25</v>
      </c>
      <c r="P25" s="11" t="str">
        <f t="shared" si="11"/>
        <v/>
      </c>
      <c r="Q25" s="11" t="str">
        <f t="shared" si="12"/>
        <v>Frame: 47 ----- Stem: 100x60  ----- Carbon Aerobar + 30 + bridge</v>
      </c>
      <c r="R25" s="11" t="str">
        <f t="shared" si="13"/>
        <v/>
      </c>
    </row>
    <row r="26" spans="1:25" x14ac:dyDescent="0.25">
      <c r="A26" s="11">
        <f>'DA - 58'!C30</f>
        <v>475</v>
      </c>
      <c r="B26" s="11">
        <f>'DA - 58'!D30</f>
        <v>445</v>
      </c>
      <c r="C26" s="11">
        <f>'DA - 58'!E30</f>
        <v>525</v>
      </c>
      <c r="D26" s="11">
        <f>'DA - 58'!G30</f>
        <v>675</v>
      </c>
      <c r="E26" s="11" t="str">
        <f>'DA - 58'!B30</f>
        <v>Frame: 58 ----- Stem: 70x60  ----- Carbon Aerobar + 5 + 10</v>
      </c>
      <c r="F26" s="11">
        <f t="shared" si="4"/>
        <v>1</v>
      </c>
      <c r="G26" s="11" t="str">
        <f t="shared" si="5"/>
        <v/>
      </c>
      <c r="H26" s="11" t="str">
        <f t="shared" si="6"/>
        <v/>
      </c>
      <c r="I26" s="11">
        <f t="shared" si="7"/>
        <v>-5</v>
      </c>
      <c r="J26" s="11">
        <v>1</v>
      </c>
      <c r="K26" s="11">
        <f t="shared" si="8"/>
        <v>1</v>
      </c>
      <c r="L26" s="11" t="str">
        <f>'DA - 58'!H30</f>
        <v xml:space="preserve">Aerobar Bolts: Top 55mm; Bottom N/A </v>
      </c>
      <c r="M26" s="11" t="str">
        <f t="array" ref="M26">INDEX($D$8:$E$907, SMALL(IF($D$8:$D$907=$G$5, ROW($D$8:$D$907)-MIN(ROW($D$8:$D$907))+1), ROW(19:19)),2)</f>
        <v>Frame: 47 ----- Stem: 70x30  ----- Aluminium Aerobar + 40 + bridge + 5</v>
      </c>
      <c r="N26" s="11" t="str">
        <f t="shared" si="9"/>
        <v>Frame: 47 ----- Stem: 70x30  ----- Aluminium Aerobar + 40 + bridge + 5</v>
      </c>
      <c r="O26" s="11" t="str">
        <f t="shared" si="10"/>
        <v>Frame: 47 ----- Stem: 70x30  ----- Aluminium Aerobar + 40 + bridge + 5  with reach:45</v>
      </c>
      <c r="P26" s="11" t="str">
        <f t="shared" si="11"/>
        <v/>
      </c>
      <c r="Q26" s="11" t="str">
        <f t="shared" si="12"/>
        <v/>
      </c>
      <c r="R26" s="11" t="str">
        <f t="shared" si="13"/>
        <v>Frame: 47 ----- Stem: 70x30  ----- Aluminium Aerobar + 40 + bridge + 5</v>
      </c>
    </row>
    <row r="27" spans="1:25" x14ac:dyDescent="0.25">
      <c r="A27" s="11">
        <f>'DA - 58'!C31</f>
        <v>475</v>
      </c>
      <c r="B27" s="11">
        <f>'DA - 58'!D31</f>
        <v>445</v>
      </c>
      <c r="C27" s="11">
        <f>'DA - 58'!E31</f>
        <v>525</v>
      </c>
      <c r="D27" s="11">
        <f>'DA - 58'!G31</f>
        <v>680</v>
      </c>
      <c r="E27" s="11" t="str">
        <f>'DA - 58'!B31</f>
        <v>Frame: 58 ----- Stem: 70x60  ----- Carbon Aerobar + 20</v>
      </c>
      <c r="F27" s="11">
        <f>IF(AND($F$5&gt;=B27,$F$5&lt;=C27),1,"")</f>
        <v>1</v>
      </c>
      <c r="G27" s="11" t="str">
        <f t="shared" si="5"/>
        <v/>
      </c>
      <c r="H27" s="11" t="str">
        <f t="shared" si="6"/>
        <v/>
      </c>
      <c r="I27" s="11">
        <f t="shared" si="7"/>
        <v>-5</v>
      </c>
      <c r="J27" s="11">
        <v>1</v>
      </c>
      <c r="K27" s="11">
        <f t="shared" si="8"/>
        <v>1</v>
      </c>
      <c r="L27" s="11" t="str">
        <f>'DA - 58'!H31</f>
        <v xml:space="preserve">Aerobar Bolts: Top 20mm; Bottom 30mm </v>
      </c>
      <c r="M27" s="11" t="str">
        <f t="array" ref="M27">INDEX($D$8:$E$907, SMALL(IF($D$8:$D$907=$G$5, ROW($D$8:$D$907)-MIN(ROW($D$8:$D$907))+1), ROW(20:20)),2)</f>
        <v>Frame: 47 ----- Stem: 70x60  ----- Aluminium Aerobar + 20</v>
      </c>
      <c r="N27" s="11" t="str">
        <f t="shared" si="9"/>
        <v/>
      </c>
      <c r="O27" s="11" t="str">
        <f t="shared" si="10"/>
        <v/>
      </c>
      <c r="P27" s="11" t="str">
        <f t="shared" si="11"/>
        <v/>
      </c>
      <c r="Q27" s="11" t="str">
        <f t="shared" si="12"/>
        <v/>
      </c>
      <c r="R27" s="11" t="str">
        <f t="shared" si="13"/>
        <v/>
      </c>
    </row>
    <row r="28" spans="1:25" x14ac:dyDescent="0.25">
      <c r="A28" s="11">
        <f>'DA - 58'!C32</f>
        <v>475</v>
      </c>
      <c r="B28" s="11">
        <f>'DA - 58'!D32</f>
        <v>445</v>
      </c>
      <c r="C28" s="11">
        <f>'DA - 58'!E32</f>
        <v>525</v>
      </c>
      <c r="D28" s="11">
        <f>'DA - 58'!G32</f>
        <v>685</v>
      </c>
      <c r="E28" s="11" t="str">
        <f>'DA - 58'!B32</f>
        <v>Frame: 58 ----- Stem: 70x60  ----- Carbon Aerobar + 20 + 5</v>
      </c>
      <c r="F28" s="11">
        <f t="shared" si="4"/>
        <v>1</v>
      </c>
      <c r="G28" s="11" t="str">
        <f t="shared" si="5"/>
        <v/>
      </c>
      <c r="H28" s="11" t="str">
        <f t="shared" si="6"/>
        <v/>
      </c>
      <c r="I28" s="11">
        <f t="shared" si="7"/>
        <v>-5</v>
      </c>
      <c r="J28" s="11">
        <v>1</v>
      </c>
      <c r="K28" s="11">
        <f t="shared" si="8"/>
        <v>1</v>
      </c>
      <c r="L28" s="11" t="str">
        <f>'DA - 58'!H32</f>
        <v xml:space="preserve">Aerobar Bolts: Top 25mm; Bottom 30mm </v>
      </c>
      <c r="M28" s="11" t="str">
        <f t="array" ref="M28">INDEX($D$8:$E$907, SMALL(IF($D$8:$D$907=$G$5, ROW($D$8:$D$907)-MIN(ROW($D$8:$D$907))+1), ROW(21:21)),2)</f>
        <v>Frame: 47 ----- Stem: 100x30  ----- Aluminium Aerobar + 40 + bridge + 5</v>
      </c>
      <c r="N28" s="11" t="str">
        <f t="shared" si="9"/>
        <v>Frame: 47 ----- Stem: 100x30  ----- Aluminium Aerobar + 40 + bridge + 5</v>
      </c>
      <c r="O28" s="11" t="str">
        <f t="shared" si="10"/>
        <v>Frame: 47 ----- Stem: 100x30  ----- Aluminium Aerobar + 40 + bridge + 5  with reach:15</v>
      </c>
      <c r="P28" s="11" t="str">
        <f t="shared" si="11"/>
        <v/>
      </c>
      <c r="Q28" s="11" t="str">
        <f t="shared" si="12"/>
        <v/>
      </c>
      <c r="R28" s="11" t="str">
        <f t="shared" si="13"/>
        <v>Frame: 47 ----- Stem: 100x30  ----- Aluminium Aerobar + 40 + bridge + 5</v>
      </c>
      <c r="V28" s="11">
        <f>V20-V5</f>
        <v>31</v>
      </c>
      <c r="W28" s="11">
        <f>W5-V20</f>
        <v>49</v>
      </c>
    </row>
    <row r="29" spans="1:25" x14ac:dyDescent="0.25">
      <c r="A29" s="11">
        <f>'DA - 58'!C33</f>
        <v>475</v>
      </c>
      <c r="B29" s="11">
        <f>'DA - 58'!D33</f>
        <v>445</v>
      </c>
      <c r="C29" s="11">
        <f>'DA - 58'!E33</f>
        <v>525</v>
      </c>
      <c r="D29" s="11">
        <f>'DA - 58'!G33</f>
        <v>685</v>
      </c>
      <c r="E29" s="11" t="str">
        <f>'DA - 58'!B33</f>
        <v>Frame: 58 ----- Stem: 70x60  ----- Carbon Aerobar + 20 + bridge</v>
      </c>
      <c r="F29" s="11">
        <f t="shared" si="4"/>
        <v>1</v>
      </c>
      <c r="G29" s="11" t="str">
        <f t="shared" si="5"/>
        <v/>
      </c>
      <c r="H29" s="11" t="str">
        <f t="shared" si="6"/>
        <v/>
      </c>
      <c r="I29" s="11">
        <f t="shared" si="7"/>
        <v>-5</v>
      </c>
      <c r="J29" s="11">
        <v>1</v>
      </c>
      <c r="K29" s="11">
        <f t="shared" si="8"/>
        <v>1</v>
      </c>
      <c r="L29" s="11" t="str">
        <f>'DA - 58'!H33</f>
        <v xml:space="preserve">Aerobar Bolts: Top 25mm; Bottom 30mm </v>
      </c>
      <c r="M29" s="11" t="str">
        <f t="array" ref="M29">INDEX($D$8:$E$907, SMALL(IF($D$8:$D$907=$G$5, ROW($D$8:$D$907)-MIN(ROW($D$8:$D$907))+1), ROW(22:22)),2)</f>
        <v>Frame: 47 ----- Stem: 100x60  ----- Aluminium Aerobar + 20</v>
      </c>
      <c r="N29" s="11" t="str">
        <f t="shared" si="9"/>
        <v>Frame: 47 ----- Stem: 100x60  ----- Aluminium Aerobar + 20</v>
      </c>
      <c r="O29" s="11" t="str">
        <f t="shared" si="10"/>
        <v>Frame: 47 ----- Stem: 100x60  ----- Aluminium Aerobar + 20  with reach:25</v>
      </c>
      <c r="P29" s="11" t="str">
        <f t="shared" si="11"/>
        <v>Frame: 47 ----- Stem: 100x60  ----- Aluminium Aerobar + 20</v>
      </c>
      <c r="Q29" s="11" t="str">
        <f t="shared" si="12"/>
        <v/>
      </c>
      <c r="R29" s="11" t="str">
        <f t="shared" si="13"/>
        <v/>
      </c>
      <c r="U29" s="12"/>
      <c r="V29" s="11">
        <f t="shared" ref="V29:V32" si="15">V21-V6</f>
        <v>29</v>
      </c>
      <c r="W29" s="11">
        <f t="shared" ref="W29:W32" si="16">W6-V21</f>
        <v>51</v>
      </c>
    </row>
    <row r="30" spans="1:25" x14ac:dyDescent="0.25">
      <c r="A30" s="11">
        <f>'DA - 58'!C34</f>
        <v>475</v>
      </c>
      <c r="B30" s="11">
        <f>'DA - 58'!D34</f>
        <v>445</v>
      </c>
      <c r="C30" s="11">
        <f>'DA - 58'!E34</f>
        <v>525</v>
      </c>
      <c r="D30" s="11">
        <f>'DA - 58'!G34</f>
        <v>690</v>
      </c>
      <c r="E30" s="11" t="str">
        <f>'DA - 58'!B34</f>
        <v>Frame: 58 ----- Stem: 70x60  ----- Carbon Aerobar + 30</v>
      </c>
      <c r="F30" s="11">
        <f t="shared" si="4"/>
        <v>1</v>
      </c>
      <c r="G30" s="11">
        <f t="shared" si="5"/>
        <v>1</v>
      </c>
      <c r="H30" s="11" t="str">
        <f t="shared" si="6"/>
        <v/>
      </c>
      <c r="I30" s="11">
        <f t="shared" si="7"/>
        <v>-5</v>
      </c>
      <c r="J30" s="11">
        <v>1</v>
      </c>
      <c r="K30" s="11">
        <f t="shared" si="8"/>
        <v>1</v>
      </c>
      <c r="L30" s="11" t="str">
        <f>'DA - 58'!H34</f>
        <v xml:space="preserve">Aerobar Bolts: Top 25mm; Bottom 30mm </v>
      </c>
      <c r="M30" s="11" t="e">
        <f t="array" ref="M30">INDEX($D$8:$E$907, SMALL(IF($D$8:$D$907=$G$5, ROW($D$8:$D$907)-MIN(ROW($D$8:$D$907))+1), ROW(23:23)),2)</f>
        <v>#NUM!</v>
      </c>
      <c r="N30" s="11" t="str">
        <f t="shared" si="9"/>
        <v/>
      </c>
      <c r="O30" s="11" t="str">
        <f t="shared" si="10"/>
        <v/>
      </c>
      <c r="P30" s="11" t="str">
        <f t="shared" si="11"/>
        <v/>
      </c>
      <c r="Q30" s="11" t="str">
        <f t="shared" si="12"/>
        <v/>
      </c>
      <c r="R30" s="11" t="str">
        <f t="shared" si="13"/>
        <v/>
      </c>
      <c r="V30" s="11">
        <f t="shared" si="15"/>
        <v>30</v>
      </c>
      <c r="W30" s="11">
        <f t="shared" si="16"/>
        <v>50</v>
      </c>
    </row>
    <row r="31" spans="1:25" x14ac:dyDescent="0.25">
      <c r="A31" s="11">
        <f>'DA - 58'!C35</f>
        <v>475</v>
      </c>
      <c r="B31" s="11">
        <f>'DA - 58'!D35</f>
        <v>445</v>
      </c>
      <c r="C31" s="11">
        <f>'DA - 58'!E35</f>
        <v>525</v>
      </c>
      <c r="D31" s="11">
        <f>'DA - 58'!G35</f>
        <v>690</v>
      </c>
      <c r="E31" s="11" t="str">
        <f>'DA - 58'!B35</f>
        <v>Frame: 58 ----- Stem: 70x60  ----- Carbon Aerobar + 20 + bridge + 5</v>
      </c>
      <c r="F31" s="11">
        <f t="shared" si="4"/>
        <v>1</v>
      </c>
      <c r="G31" s="11" t="str">
        <f t="shared" si="5"/>
        <v/>
      </c>
      <c r="H31" s="11" t="str">
        <f t="shared" si="6"/>
        <v/>
      </c>
      <c r="I31" s="11">
        <f t="shared" si="7"/>
        <v>-5</v>
      </c>
      <c r="J31" s="11">
        <v>1</v>
      </c>
      <c r="K31" s="11">
        <f t="shared" si="8"/>
        <v>1</v>
      </c>
      <c r="L31" s="11" t="str">
        <f>'DA - 58'!H35</f>
        <v xml:space="preserve">Aerobar Bolts: Top 30mm; Bottom 30mm </v>
      </c>
      <c r="M31" s="11" t="e">
        <f t="array" ref="M31">INDEX($D$8:$E$907, SMALL(IF($D$8:$D$907=$G$5, ROW($D$8:$D$907)-MIN(ROW($D$8:$D$907))+1), ROW(24:24)),2)</f>
        <v>#NUM!</v>
      </c>
      <c r="N31" s="11" t="str">
        <f t="shared" si="9"/>
        <v/>
      </c>
      <c r="O31" s="11" t="str">
        <f t="shared" si="10"/>
        <v/>
      </c>
      <c r="P31" s="11" t="str">
        <f t="shared" si="11"/>
        <v/>
      </c>
      <c r="Q31" s="11" t="str">
        <f t="shared" si="12"/>
        <v/>
      </c>
      <c r="R31" s="11" t="str">
        <f t="shared" si="13"/>
        <v/>
      </c>
      <c r="V31" s="11">
        <f t="shared" si="15"/>
        <v>30</v>
      </c>
      <c r="W31" s="11">
        <f t="shared" si="16"/>
        <v>50</v>
      </c>
    </row>
    <row r="32" spans="1:25" x14ac:dyDescent="0.25">
      <c r="A32" s="11">
        <f>'DA - 58'!C36</f>
        <v>475</v>
      </c>
      <c r="B32" s="11">
        <f>'DA - 58'!D36</f>
        <v>445</v>
      </c>
      <c r="C32" s="11">
        <f>'DA - 58'!E36</f>
        <v>525</v>
      </c>
      <c r="D32" s="11">
        <f>'DA - 58'!G36</f>
        <v>695</v>
      </c>
      <c r="E32" s="11" t="str">
        <f>'DA - 58'!B36</f>
        <v>Frame: 58 ----- Stem: 70x60  ----- Carbon Aerobar + 30 + bridge</v>
      </c>
      <c r="F32" s="11">
        <f t="shared" si="4"/>
        <v>1</v>
      </c>
      <c r="G32" s="11">
        <f t="shared" si="5"/>
        <v>1</v>
      </c>
      <c r="H32" s="11" t="str">
        <f t="shared" si="6"/>
        <v/>
      </c>
      <c r="I32" s="11">
        <f t="shared" si="7"/>
        <v>-5</v>
      </c>
      <c r="J32" s="11">
        <v>1</v>
      </c>
      <c r="K32" s="11">
        <f t="shared" si="8"/>
        <v>1</v>
      </c>
      <c r="L32" s="11" t="str">
        <f>'DA - 58'!H36</f>
        <v xml:space="preserve">Aerobar Bolts: Top 30mm; Bottom 30mm </v>
      </c>
      <c r="M32" s="11" t="e">
        <f t="array" ref="M32">INDEX($D$8:$E$907, SMALL(IF($D$8:$D$907=$G$5, ROW($D$8:$D$907)-MIN(ROW($D$8:$D$907))+1), ROW(25:25)),2)</f>
        <v>#NUM!</v>
      </c>
      <c r="N32" s="11" t="str">
        <f t="shared" si="9"/>
        <v/>
      </c>
      <c r="O32" s="11" t="str">
        <f t="shared" si="10"/>
        <v/>
      </c>
      <c r="P32" s="11" t="str">
        <f t="shared" si="11"/>
        <v/>
      </c>
      <c r="Q32" s="11" t="str">
        <f t="shared" si="12"/>
        <v/>
      </c>
      <c r="R32" s="11" t="str">
        <f t="shared" si="13"/>
        <v/>
      </c>
      <c r="V32" s="11">
        <f t="shared" si="15"/>
        <v>32</v>
      </c>
      <c r="W32" s="11">
        <f t="shared" si="16"/>
        <v>53</v>
      </c>
    </row>
    <row r="33" spans="1:27" x14ac:dyDescent="0.25">
      <c r="A33" s="11">
        <f>'DA - 58'!C37</f>
        <v>475</v>
      </c>
      <c r="B33" s="11">
        <f>'DA - 58'!D37</f>
        <v>445</v>
      </c>
      <c r="C33" s="11">
        <f>'DA - 58'!E37</f>
        <v>525</v>
      </c>
      <c r="D33" s="11">
        <f>'DA - 58'!G37</f>
        <v>700</v>
      </c>
      <c r="E33" s="11" t="str">
        <f>'DA - 58'!B37</f>
        <v>Frame: 58 ----- Stem: 70x60  ----- Carbon Aerobar + 30 + bridge + 5</v>
      </c>
      <c r="F33" s="11">
        <f t="shared" si="4"/>
        <v>1</v>
      </c>
      <c r="G33" s="11">
        <f t="shared" si="5"/>
        <v>1</v>
      </c>
      <c r="H33" s="11" t="str">
        <f t="shared" si="6"/>
        <v/>
      </c>
      <c r="I33" s="11">
        <f t="shared" si="7"/>
        <v>-5</v>
      </c>
      <c r="J33" s="11">
        <v>1</v>
      </c>
      <c r="K33" s="11">
        <f t="shared" si="8"/>
        <v>1</v>
      </c>
      <c r="L33" s="11" t="str">
        <f>'DA - 58'!H37</f>
        <v xml:space="preserve">Aerobar Bolts: Top 35mm; Bottom 30mm </v>
      </c>
      <c r="M33" s="11" t="e">
        <f t="array" ref="M33">INDEX($D$8:$E$907, SMALL(IF($D$8:$D$907=$G$5, ROW($D$8:$D$907)-MIN(ROW($D$8:$D$907))+1), ROW(26:26)),2)</f>
        <v>#NUM!</v>
      </c>
      <c r="N33" s="11" t="str">
        <f t="shared" si="9"/>
        <v/>
      </c>
      <c r="O33" s="11" t="str">
        <f t="shared" si="10"/>
        <v/>
      </c>
      <c r="P33" s="11" t="str">
        <f t="shared" si="11"/>
        <v/>
      </c>
      <c r="Q33" s="11" t="str">
        <f t="shared" si="12"/>
        <v/>
      </c>
      <c r="R33" s="11" t="str">
        <f t="shared" si="13"/>
        <v/>
      </c>
    </row>
    <row r="34" spans="1:27" x14ac:dyDescent="0.25">
      <c r="A34" s="11">
        <f>'DA - 58'!C38</f>
        <v>475</v>
      </c>
      <c r="B34" s="11">
        <f>'DA - 58'!D38</f>
        <v>445</v>
      </c>
      <c r="C34" s="11">
        <f>'DA - 58'!E38</f>
        <v>525</v>
      </c>
      <c r="D34" s="11">
        <f>'DA - 58'!G38</f>
        <v>705</v>
      </c>
      <c r="E34" s="11" t="str">
        <f>'DA - 58'!B38</f>
        <v>Frame: 58 ----- Stem: 70x60  ----- Carbon Aerobar + 40 + bridge</v>
      </c>
      <c r="F34" s="11">
        <f t="shared" si="4"/>
        <v>1</v>
      </c>
      <c r="G34" s="11" t="str">
        <f t="shared" si="5"/>
        <v/>
      </c>
      <c r="H34" s="11">
        <f t="shared" si="6"/>
        <v>1</v>
      </c>
      <c r="I34" s="11">
        <f t="shared" si="7"/>
        <v>-5</v>
      </c>
      <c r="J34" s="11">
        <v>1</v>
      </c>
      <c r="K34" s="11">
        <f t="shared" si="8"/>
        <v>1</v>
      </c>
      <c r="L34" s="11" t="str">
        <f>'DA - 58'!H38</f>
        <v xml:space="preserve">Aerobar Bolts: Top 35mm; Bottom 30mm </v>
      </c>
      <c r="M34" s="11" t="e">
        <f t="array" ref="M34">INDEX($D$8:$E$907, SMALL(IF($D$8:$D$907=$G$5, ROW($D$8:$D$907)-MIN(ROW($D$8:$D$907))+1), ROW(27:27)),2)</f>
        <v>#NUM!</v>
      </c>
      <c r="N34" s="11" t="str">
        <f t="shared" si="9"/>
        <v/>
      </c>
      <c r="O34" s="11" t="str">
        <f t="shared" si="10"/>
        <v/>
      </c>
      <c r="P34" s="11" t="str">
        <f t="shared" si="11"/>
        <v/>
      </c>
      <c r="Q34" s="11" t="str">
        <f t="shared" si="12"/>
        <v/>
      </c>
      <c r="R34" s="11" t="str">
        <f t="shared" si="13"/>
        <v/>
      </c>
    </row>
    <row r="35" spans="1:27" x14ac:dyDescent="0.25">
      <c r="A35" s="11">
        <f>'DA - 58'!C39</f>
        <v>475</v>
      </c>
      <c r="B35" s="11">
        <f>'DA - 58'!D39</f>
        <v>445</v>
      </c>
      <c r="C35" s="11">
        <f>'DA - 58'!E39</f>
        <v>525</v>
      </c>
      <c r="D35" s="11">
        <f>'DA - 58'!G39</f>
        <v>710</v>
      </c>
      <c r="E35" s="11" t="str">
        <f>'DA - 58'!B39</f>
        <v>Frame: 58 ----- Stem: 70x60  ----- Carbon Aerobar + 40 + bridge + 5</v>
      </c>
      <c r="F35" s="11">
        <f t="shared" si="4"/>
        <v>1</v>
      </c>
      <c r="G35" s="11" t="str">
        <f t="shared" si="5"/>
        <v/>
      </c>
      <c r="H35" s="11">
        <f t="shared" si="6"/>
        <v>1</v>
      </c>
      <c r="I35" s="11">
        <f t="shared" si="7"/>
        <v>-5</v>
      </c>
      <c r="J35" s="11">
        <v>1</v>
      </c>
      <c r="K35" s="11">
        <f t="shared" si="8"/>
        <v>1</v>
      </c>
      <c r="L35" s="11" t="str">
        <f>'DA - 58'!H39</f>
        <v xml:space="preserve">Aerobar Bolts: Top 35mm; Bottom 30mm </v>
      </c>
      <c r="M35" s="11" t="e">
        <f t="array" ref="M35">INDEX($D$8:$E$907, SMALL(IF($D$8:$D$907=$G$5, ROW($D$8:$D$907)-MIN(ROW($D$8:$D$907))+1), ROW(28:28)),2)</f>
        <v>#NUM!</v>
      </c>
      <c r="N35" s="11" t="str">
        <f t="shared" si="9"/>
        <v/>
      </c>
      <c r="O35" s="11" t="str">
        <f t="shared" si="10"/>
        <v/>
      </c>
      <c r="P35" s="11" t="str">
        <f>IFERROR(IF(AND(VLOOKUP(N35,$E$8:$H$907,3,FALSE)="",VLOOKUP(N35,$E$8:$H$907,4,FALSE)=""),N35,""),"")</f>
        <v/>
      </c>
      <c r="Q35" s="11" t="str">
        <f t="shared" si="12"/>
        <v/>
      </c>
      <c r="R35" s="11" t="str">
        <f t="shared" si="13"/>
        <v/>
      </c>
      <c r="U35" s="11" t="str">
        <f>'Data - DA'!S6</f>
        <v>Reach</v>
      </c>
      <c r="V35" s="11">
        <f>'Data - DA'!T6</f>
        <v>0</v>
      </c>
      <c r="W35" s="11">
        <f>'Data - DA'!U6</f>
        <v>0</v>
      </c>
      <c r="X35" s="11">
        <f>'Data - DA'!V6</f>
        <v>0</v>
      </c>
      <c r="Y35" s="11">
        <f>'Data - DA'!W6</f>
        <v>0</v>
      </c>
      <c r="Z35" s="11">
        <f>'Data - DA'!X6</f>
        <v>0</v>
      </c>
      <c r="AA35" s="11">
        <f>'Data - DA'!Y6</f>
        <v>0</v>
      </c>
    </row>
    <row r="36" spans="1:27" x14ac:dyDescent="0.25">
      <c r="A36" s="11">
        <f>'DA - 58'!C40</f>
        <v>475</v>
      </c>
      <c r="B36" s="11">
        <f>'DA - 58'!D40</f>
        <v>445</v>
      </c>
      <c r="C36" s="11">
        <f>'DA - 58'!E40</f>
        <v>525</v>
      </c>
      <c r="D36" s="11">
        <f>'DA - 58'!G40</f>
        <v>715</v>
      </c>
      <c r="E36" s="11" t="str">
        <f>'DA - 58'!B40</f>
        <v>Frame: 58 ----- Stem: 70x60  ----- Carbon Aerobar + 40 + bridge + 10</v>
      </c>
      <c r="F36" s="11">
        <f t="shared" si="4"/>
        <v>1</v>
      </c>
      <c r="G36" s="11" t="str">
        <f t="shared" si="5"/>
        <v/>
      </c>
      <c r="H36" s="11">
        <f t="shared" si="6"/>
        <v>1</v>
      </c>
      <c r="I36" s="11">
        <f t="shared" si="7"/>
        <v>-5</v>
      </c>
      <c r="J36" s="11">
        <v>1</v>
      </c>
      <c r="K36" s="11">
        <f t="shared" si="8"/>
        <v>1</v>
      </c>
      <c r="L36" s="11" t="str">
        <f>'DA - 58'!H40</f>
        <v xml:space="preserve">Aerobar Bolts: Top 40mm; Bottom 30mm </v>
      </c>
      <c r="M36" s="11" t="e">
        <f t="array" ref="M36">INDEX($D$8:$E$907, SMALL(IF($D$8:$D$907=$G$5, ROW($D$8:$D$907)-MIN(ROW($D$8:$D$907))+1), ROW(29:29)),2)</f>
        <v>#NUM!</v>
      </c>
      <c r="N36" s="11" t="str">
        <f t="shared" si="9"/>
        <v/>
      </c>
      <c r="O36" s="11" t="str">
        <f t="shared" si="10"/>
        <v/>
      </c>
      <c r="P36" s="11" t="str">
        <f t="shared" si="11"/>
        <v/>
      </c>
      <c r="Q36" s="11" t="str">
        <f t="shared" si="12"/>
        <v/>
      </c>
      <c r="R36" s="11" t="str">
        <f t="shared" si="13"/>
        <v/>
      </c>
      <c r="U36" s="11" t="str">
        <f>'Data - DA'!S7</f>
        <v>Neutral</v>
      </c>
      <c r="V36" s="11" t="str">
        <f>'Data - DA'!T7</f>
        <v>70x30</v>
      </c>
      <c r="W36" s="11" t="str">
        <f>'Data - DA'!U7</f>
        <v>70x60</v>
      </c>
      <c r="X36" s="11" t="str">
        <f>'Data - DA'!V7</f>
        <v>100x30</v>
      </c>
      <c r="Y36" s="11" t="str">
        <f>'Data - DA'!W7</f>
        <v>100x60</v>
      </c>
      <c r="Z36" s="11" t="str">
        <f>'Data - DA'!X7</f>
        <v>90x0</v>
      </c>
      <c r="AA36" s="11" t="str">
        <f>'Data - DA'!Y7</f>
        <v>110x0</v>
      </c>
    </row>
    <row r="37" spans="1:27" x14ac:dyDescent="0.25">
      <c r="A37" s="11">
        <f>'DA - 58'!C41</f>
        <v>475</v>
      </c>
      <c r="B37" s="11">
        <f>'DA - 58'!D41</f>
        <v>445</v>
      </c>
      <c r="C37" s="11">
        <f>'DA - 58'!E41</f>
        <v>525</v>
      </c>
      <c r="D37" s="11">
        <f>'DA - 58'!G41</f>
        <v>720</v>
      </c>
      <c r="E37" s="11" t="str">
        <f>'DA - 58'!B41</f>
        <v>Frame: 58 ----- Stem: 70x60  ----- Carbon Aerobar + 40 + bridge + 10 + 5</v>
      </c>
      <c r="F37" s="11">
        <f t="shared" si="4"/>
        <v>1</v>
      </c>
      <c r="G37" s="11" t="str">
        <f t="shared" si="5"/>
        <v/>
      </c>
      <c r="H37" s="11">
        <f t="shared" si="6"/>
        <v>1</v>
      </c>
      <c r="I37" s="11">
        <f t="shared" si="7"/>
        <v>-5</v>
      </c>
      <c r="J37" s="11">
        <v>1</v>
      </c>
      <c r="K37" s="11">
        <f t="shared" si="8"/>
        <v>1</v>
      </c>
      <c r="L37" s="11" t="str">
        <f>'DA - 58'!H41</f>
        <v xml:space="preserve">Aerobar Bolts: Top 45mm; Bottom 30mm </v>
      </c>
      <c r="M37" s="11" t="e">
        <f t="array" ref="M37">INDEX($D$8:$E$907, SMALL(IF($D$8:$D$907=$G$5, ROW($D$8:$D$907)-MIN(ROW($D$8:$D$907))+1), ROW(30:30)),2)</f>
        <v>#NUM!</v>
      </c>
      <c r="N37" s="11" t="str">
        <f t="shared" si="9"/>
        <v/>
      </c>
      <c r="O37" s="11" t="str">
        <f t="shared" si="10"/>
        <v/>
      </c>
      <c r="P37" s="11" t="str">
        <f t="shared" si="11"/>
        <v/>
      </c>
      <c r="Q37" s="11" t="str">
        <f t="shared" si="12"/>
        <v/>
      </c>
      <c r="R37" s="11" t="str">
        <f t="shared" si="13"/>
        <v/>
      </c>
      <c r="U37" s="11">
        <f>'Data - DA'!S8</f>
        <v>47</v>
      </c>
      <c r="V37" s="11">
        <f>'Data - DA'!T8</f>
        <v>424</v>
      </c>
      <c r="W37" s="11">
        <f>'Data - DA'!U8</f>
        <v>414</v>
      </c>
      <c r="X37" s="11">
        <f>'Data - DA'!V8</f>
        <v>454</v>
      </c>
      <c r="Y37" s="11">
        <f>'Data - DA'!W8</f>
        <v>445</v>
      </c>
      <c r="Z37" s="11">
        <f>'Data - DA'!X8</f>
        <v>449</v>
      </c>
      <c r="AA37" s="11">
        <f>'Data - DA'!Y8</f>
        <v>469</v>
      </c>
    </row>
    <row r="38" spans="1:27" x14ac:dyDescent="0.25">
      <c r="A38" s="11">
        <f>'DA - 58'!C42</f>
        <v>515</v>
      </c>
      <c r="B38" s="11">
        <f>'DA - 58'!D42</f>
        <v>485</v>
      </c>
      <c r="C38" s="11">
        <f>'DA - 58'!E42</f>
        <v>565</v>
      </c>
      <c r="D38" s="11">
        <f>'DA - 58'!G42</f>
        <v>0</v>
      </c>
      <c r="E38" s="11" t="str">
        <f>'DA - 58'!B42</f>
        <v>Frame: 58 ----- Stem: 100x30  ----- Carbon Aerobar</v>
      </c>
      <c r="F38" s="11" t="str">
        <f t="shared" si="4"/>
        <v/>
      </c>
      <c r="G38" s="11" t="str">
        <f>IF(ISNUMBER(FIND(" 30",E38)),1,"")</f>
        <v/>
      </c>
      <c r="H38" s="11" t="str">
        <f t="shared" si="6"/>
        <v/>
      </c>
      <c r="I38" s="11">
        <f t="shared" si="7"/>
        <v>-45</v>
      </c>
      <c r="J38" s="11">
        <v>1</v>
      </c>
      <c r="K38" s="11">
        <f t="shared" si="8"/>
        <v>1</v>
      </c>
      <c r="L38" s="11" t="str">
        <f>'DA - 58'!H42</f>
        <v xml:space="preserve">Aerobar Bolts: Top N/A; Bottom N/A </v>
      </c>
      <c r="M38" s="11" t="e">
        <f t="array" ref="M38">INDEX($D$8:$E$907, SMALL(IF($D$8:$D$907=$G$5, ROW($D$8:$D$907)-MIN(ROW($D$8:$D$907))+1), ROW(31:31)),2)</f>
        <v>#NUM!</v>
      </c>
      <c r="N38" s="11" t="str">
        <f t="shared" si="9"/>
        <v/>
      </c>
      <c r="O38" s="11" t="str">
        <f t="shared" si="10"/>
        <v/>
      </c>
      <c r="P38" s="11" t="str">
        <f t="shared" si="11"/>
        <v/>
      </c>
      <c r="Q38" s="11" t="str">
        <f t="shared" si="12"/>
        <v/>
      </c>
      <c r="R38" s="11" t="str">
        <f t="shared" si="13"/>
        <v/>
      </c>
      <c r="U38" s="11">
        <f>'Data - DA'!S9</f>
        <v>51</v>
      </c>
      <c r="V38" s="11">
        <f>'Data - DA'!T9</f>
        <v>436</v>
      </c>
      <c r="W38" s="11">
        <f>'Data - DA'!U9</f>
        <v>426</v>
      </c>
      <c r="X38" s="11">
        <f>'Data - DA'!V9</f>
        <v>466</v>
      </c>
      <c r="Y38" s="11">
        <f>'Data - DA'!W9</f>
        <v>457</v>
      </c>
      <c r="Z38" s="11">
        <f>'Data - DA'!X9</f>
        <v>461</v>
      </c>
      <c r="AA38" s="11">
        <f>'Data - DA'!Y9</f>
        <v>481</v>
      </c>
    </row>
    <row r="39" spans="1:27" x14ac:dyDescent="0.25">
      <c r="A39" s="11">
        <f>'DA - 58'!C43</f>
        <v>515</v>
      </c>
      <c r="B39" s="11">
        <f>'DA - 58'!D43</f>
        <v>485</v>
      </c>
      <c r="C39" s="11">
        <f>'DA - 58'!E43</f>
        <v>565</v>
      </c>
      <c r="D39" s="11">
        <f>'DA - 58'!G43</f>
        <v>635</v>
      </c>
      <c r="E39" s="11" t="str">
        <f>'DA - 58'!B43</f>
        <v>Frame: 58 ----- Stem: 100x30  ----- Carbon Aerobar + 5</v>
      </c>
      <c r="F39" s="11" t="str">
        <f t="shared" si="4"/>
        <v/>
      </c>
      <c r="G39" s="11" t="str">
        <f t="shared" si="5"/>
        <v/>
      </c>
      <c r="H39" s="11" t="str">
        <f t="shared" si="6"/>
        <v/>
      </c>
      <c r="I39" s="11">
        <f t="shared" si="7"/>
        <v>-45</v>
      </c>
      <c r="J39" s="11">
        <v>1</v>
      </c>
      <c r="K39" s="11">
        <f t="shared" si="8"/>
        <v>1</v>
      </c>
      <c r="L39" s="11" t="str">
        <f>'DA - 58'!H43</f>
        <v xml:space="preserve">Aerobar Bolts: Top 45mm; Bottom N/A </v>
      </c>
      <c r="M39" s="11" t="e">
        <f t="array" ref="M39">INDEX($D$8:$E$907, SMALL(IF($D$8:$D$907=$G$5, ROW($D$8:$D$907)-MIN(ROW($D$8:$D$907))+1), ROW(32:32)),2)</f>
        <v>#NUM!</v>
      </c>
      <c r="N39" s="11" t="str">
        <f t="shared" si="9"/>
        <v/>
      </c>
      <c r="O39" s="11" t="str">
        <f t="shared" si="10"/>
        <v/>
      </c>
      <c r="P39" s="11" t="str">
        <f t="shared" si="11"/>
        <v/>
      </c>
      <c r="Q39" s="11" t="str">
        <f t="shared" si="12"/>
        <v/>
      </c>
      <c r="R39" s="11" t="str">
        <f t="shared" si="13"/>
        <v/>
      </c>
      <c r="U39" s="11">
        <f>'Data - DA'!S10</f>
        <v>54</v>
      </c>
      <c r="V39" s="11">
        <f>'Data - DA'!T10</f>
        <v>453</v>
      </c>
      <c r="W39" s="11">
        <f>'Data - DA'!U10</f>
        <v>443</v>
      </c>
      <c r="X39" s="11">
        <f>'Data - DA'!V10</f>
        <v>483</v>
      </c>
      <c r="Y39" s="11">
        <f>'Data - DA'!W10</f>
        <v>474</v>
      </c>
      <c r="Z39" s="11">
        <f>'Data - DA'!X10</f>
        <v>478</v>
      </c>
      <c r="AA39" s="11">
        <f>'Data - DA'!Y10</f>
        <v>498</v>
      </c>
    </row>
    <row r="40" spans="1:27" x14ac:dyDescent="0.25">
      <c r="A40" s="11">
        <f>'DA - 58'!C44</f>
        <v>515</v>
      </c>
      <c r="B40" s="11">
        <f>'DA - 58'!D44</f>
        <v>485</v>
      </c>
      <c r="C40" s="11">
        <f>'DA - 58'!E44</f>
        <v>565</v>
      </c>
      <c r="D40" s="11">
        <f>'DA - 58'!G44</f>
        <v>640</v>
      </c>
      <c r="E40" s="11" t="str">
        <f>'DA - 58'!B44</f>
        <v>Frame: 58 ----- Stem: 100x30  ----- Carbon Aerobar + 10</v>
      </c>
      <c r="F40" s="11" t="str">
        <f t="shared" si="4"/>
        <v/>
      </c>
      <c r="G40" s="11" t="str">
        <f t="shared" si="5"/>
        <v/>
      </c>
      <c r="H40" s="11" t="str">
        <f t="shared" si="6"/>
        <v/>
      </c>
      <c r="I40" s="11">
        <f t="shared" si="7"/>
        <v>-45</v>
      </c>
      <c r="J40" s="11">
        <v>1</v>
      </c>
      <c r="K40" s="11">
        <f t="shared" si="8"/>
        <v>1</v>
      </c>
      <c r="L40" s="11" t="str">
        <f>'DA - 58'!H44</f>
        <v xml:space="preserve">Aerobar Bolts: Top 50mm; Bottom N/A </v>
      </c>
      <c r="M40" s="11" t="e">
        <f t="array" ref="M40">INDEX($D$8:$E$907, SMALL(IF($D$8:$D$907=$G$5, ROW($D$8:$D$907)-MIN(ROW($D$8:$D$907))+1), ROW(33:33)),2)</f>
        <v>#NUM!</v>
      </c>
      <c r="N40" s="11" t="str">
        <f t="shared" si="9"/>
        <v/>
      </c>
      <c r="O40" s="11" t="str">
        <f t="shared" si="10"/>
        <v/>
      </c>
      <c r="P40" s="11" t="str">
        <f t="shared" si="11"/>
        <v/>
      </c>
      <c r="Q40" s="11" t="str">
        <f t="shared" si="12"/>
        <v/>
      </c>
      <c r="R40" s="11" t="str">
        <f t="shared" si="13"/>
        <v/>
      </c>
      <c r="U40" s="11">
        <f>'Data - DA'!S11</f>
        <v>56</v>
      </c>
      <c r="V40" s="11">
        <f>'Data - DA'!T11</f>
        <v>469</v>
      </c>
      <c r="W40" s="11">
        <f>'Data - DA'!U11</f>
        <v>459</v>
      </c>
      <c r="X40" s="11">
        <f>'Data - DA'!V11</f>
        <v>499</v>
      </c>
      <c r="Y40" s="11">
        <f>'Data - DA'!W11</f>
        <v>490</v>
      </c>
      <c r="Z40" s="11">
        <f>'Data - DA'!X11</f>
        <v>494</v>
      </c>
      <c r="AA40" s="11">
        <f>'Data - DA'!Y11</f>
        <v>514</v>
      </c>
    </row>
    <row r="41" spans="1:27" x14ac:dyDescent="0.25">
      <c r="A41" s="11">
        <f>'DA - 58'!C45</f>
        <v>515</v>
      </c>
      <c r="B41" s="11">
        <f>'DA - 58'!D45</f>
        <v>485</v>
      </c>
      <c r="C41" s="11">
        <f>'DA - 58'!E45</f>
        <v>565</v>
      </c>
      <c r="D41" s="11">
        <f>'DA - 58'!G45</f>
        <v>645</v>
      </c>
      <c r="E41" s="11" t="str">
        <f>'DA - 58'!B45</f>
        <v>Frame: 58 ----- Stem: 100x30  ----- Carbon Aerobar + 5 + 10</v>
      </c>
      <c r="F41" s="11" t="str">
        <f t="shared" si="4"/>
        <v/>
      </c>
      <c r="G41" s="11" t="str">
        <f t="shared" si="5"/>
        <v/>
      </c>
      <c r="H41" s="11" t="str">
        <f t="shared" si="6"/>
        <v/>
      </c>
      <c r="I41" s="11">
        <f t="shared" si="7"/>
        <v>-45</v>
      </c>
      <c r="J41" s="11">
        <v>1</v>
      </c>
      <c r="K41" s="11">
        <f t="shared" si="8"/>
        <v>1</v>
      </c>
      <c r="L41" s="11" t="str">
        <f>'DA - 58'!H45</f>
        <v xml:space="preserve">Aerobar Bolts: Top 55mm; Bottom N/A </v>
      </c>
      <c r="M41" s="11" t="e">
        <f t="array" ref="M41">INDEX($D$8:$E$907, SMALL(IF($D$8:$D$907=$G$5, ROW($D$8:$D$907)-MIN(ROW($D$8:$D$907))+1), ROW(34:34)),2)</f>
        <v>#NUM!</v>
      </c>
      <c r="N41" s="11" t="str">
        <f t="shared" si="9"/>
        <v/>
      </c>
      <c r="O41" s="11" t="str">
        <f t="shared" si="10"/>
        <v/>
      </c>
      <c r="P41" s="11" t="str">
        <f t="shared" si="11"/>
        <v/>
      </c>
      <c r="Q41" s="11" t="str">
        <f t="shared" si="12"/>
        <v/>
      </c>
      <c r="R41" s="11" t="str">
        <f t="shared" si="13"/>
        <v/>
      </c>
      <c r="U41" s="11">
        <f>'Data - DA'!S12</f>
        <v>58</v>
      </c>
      <c r="V41" s="11">
        <f>'Data - DA'!T12</f>
        <v>484</v>
      </c>
      <c r="W41" s="11">
        <f>'Data - DA'!U12</f>
        <v>474</v>
      </c>
      <c r="X41" s="11">
        <f>'Data - DA'!V12</f>
        <v>514</v>
      </c>
      <c r="Y41" s="11">
        <f>'Data - DA'!W12</f>
        <v>505</v>
      </c>
      <c r="Z41" s="11">
        <f>'Data - DA'!X12</f>
        <v>509</v>
      </c>
      <c r="AA41" s="11">
        <f>'Data - DA'!Y12</f>
        <v>529</v>
      </c>
    </row>
    <row r="42" spans="1:27" x14ac:dyDescent="0.25">
      <c r="A42" s="11">
        <f>'DA - 58'!C46</f>
        <v>515</v>
      </c>
      <c r="B42" s="11">
        <f>'DA - 58'!D46</f>
        <v>485</v>
      </c>
      <c r="C42" s="11">
        <f>'DA - 58'!E46</f>
        <v>565</v>
      </c>
      <c r="D42" s="11">
        <f>'DA - 58'!G46</f>
        <v>650</v>
      </c>
      <c r="E42" s="11" t="str">
        <f>'DA - 58'!B46</f>
        <v>Frame: 58 ----- Stem: 100x30  ----- Carbon Aerobar + 20</v>
      </c>
      <c r="F42" s="11" t="str">
        <f t="shared" si="4"/>
        <v/>
      </c>
      <c r="G42" s="11" t="str">
        <f t="shared" si="5"/>
        <v/>
      </c>
      <c r="H42" s="11" t="str">
        <f t="shared" si="6"/>
        <v/>
      </c>
      <c r="I42" s="11">
        <f t="shared" si="7"/>
        <v>-45</v>
      </c>
      <c r="J42" s="11">
        <v>1</v>
      </c>
      <c r="K42" s="11">
        <f t="shared" si="8"/>
        <v>1</v>
      </c>
      <c r="L42" s="11" t="str">
        <f>'DA - 58'!H46</f>
        <v xml:space="preserve">Aerobar Bolts: Top 20mm; Bottom 30mm </v>
      </c>
      <c r="M42" s="11" t="e">
        <f t="array" ref="M42">INDEX($D$8:$E$907, SMALL(IF($D$8:$D$907=$G$5, ROW($D$8:$D$907)-MIN(ROW($D$8:$D$907))+1), ROW(35:35)),2)</f>
        <v>#NUM!</v>
      </c>
      <c r="N42" s="11" t="str">
        <f t="shared" si="9"/>
        <v/>
      </c>
      <c r="O42" s="11" t="str">
        <f t="shared" ref="O42:O49" si="17">IF(N42="","",TEXT(N42,0)&amp;"  with reach:"&amp;IFERROR(VLOOKUP(N42,$E$8:$I$382,5,FALSE),""))</f>
        <v/>
      </c>
      <c r="P42" s="11" t="str">
        <f t="shared" si="11"/>
        <v/>
      </c>
      <c r="Q42" s="11" t="str">
        <f t="shared" si="12"/>
        <v/>
      </c>
      <c r="R42" s="11" t="str">
        <f t="shared" si="13"/>
        <v/>
      </c>
      <c r="U42" s="11" t="str">
        <f>'Data - DA'!S13</f>
        <v>Nutral Rounded</v>
      </c>
      <c r="V42" s="11">
        <f>'Data - DA'!T13</f>
        <v>0</v>
      </c>
      <c r="W42" s="11">
        <f>'Data - DA'!U13</f>
        <v>0</v>
      </c>
      <c r="X42" s="11">
        <f>'Data - DA'!V13</f>
        <v>0</v>
      </c>
      <c r="Y42" s="11">
        <f>'Data - DA'!W13</f>
        <v>0</v>
      </c>
      <c r="Z42" s="11">
        <f>'Data - DA'!X13</f>
        <v>0</v>
      </c>
      <c r="AA42" s="11">
        <f>'Data - DA'!Y13</f>
        <v>0</v>
      </c>
    </row>
    <row r="43" spans="1:27" x14ac:dyDescent="0.25">
      <c r="A43" s="11">
        <f>'DA - 58'!C47</f>
        <v>515</v>
      </c>
      <c r="B43" s="11">
        <f>'DA - 58'!D47</f>
        <v>485</v>
      </c>
      <c r="C43" s="11">
        <f>'DA - 58'!E47</f>
        <v>565</v>
      </c>
      <c r="D43" s="11">
        <f>'DA - 58'!G47</f>
        <v>655</v>
      </c>
      <c r="E43" s="11" t="str">
        <f>'DA - 58'!B47</f>
        <v>Frame: 58 ----- Stem: 100x30  ----- Carbon Aerobar + 20 + 5</v>
      </c>
      <c r="F43" s="11" t="str">
        <f>IF(AND($F$5&gt;=B43,$F$5&lt;=C43),1,"")</f>
        <v/>
      </c>
      <c r="G43" s="11" t="str">
        <f t="shared" si="5"/>
        <v/>
      </c>
      <c r="H43" s="11" t="str">
        <f t="shared" si="6"/>
        <v/>
      </c>
      <c r="I43" s="11">
        <f t="shared" si="7"/>
        <v>-45</v>
      </c>
      <c r="J43" s="11">
        <v>1</v>
      </c>
      <c r="K43" s="11">
        <f t="shared" si="8"/>
        <v>1</v>
      </c>
      <c r="L43" s="11" t="str">
        <f>'DA - 58'!H47</f>
        <v xml:space="preserve">Aerobar Bolts: Top 25mm; Bottom 30mm </v>
      </c>
      <c r="M43" s="11" t="e">
        <f t="array" ref="M43">INDEX($D$8:$E$907, SMALL(IF($D$8:$D$907=$G$5, ROW($D$8:$D$907)-MIN(ROW($D$8:$D$907))+1), ROW(36:36)),2)</f>
        <v>#NUM!</v>
      </c>
      <c r="N43" s="11" t="str">
        <f t="shared" si="9"/>
        <v/>
      </c>
      <c r="O43" s="11" t="str">
        <f t="shared" si="17"/>
        <v/>
      </c>
      <c r="P43" s="11" t="str">
        <f t="shared" si="11"/>
        <v/>
      </c>
      <c r="Q43" s="11" t="str">
        <f t="shared" si="12"/>
        <v/>
      </c>
      <c r="R43" s="11" t="str">
        <f t="shared" si="13"/>
        <v/>
      </c>
      <c r="U43" s="11">
        <f>'Data - DA'!S14</f>
        <v>47</v>
      </c>
      <c r="V43" s="11">
        <f>'Data - DA'!T14</f>
        <v>425</v>
      </c>
      <c r="W43" s="11">
        <f>'Data - DA'!U14</f>
        <v>415</v>
      </c>
      <c r="X43" s="11">
        <f>'Data - DA'!V14</f>
        <v>455</v>
      </c>
      <c r="Y43" s="11">
        <f>'Data - DA'!W14</f>
        <v>445</v>
      </c>
      <c r="Z43" s="11">
        <f>'Data - DA'!X14</f>
        <v>450</v>
      </c>
      <c r="AA43" s="11">
        <f>'Data - DA'!Y14</f>
        <v>470</v>
      </c>
    </row>
    <row r="44" spans="1:27" x14ac:dyDescent="0.25">
      <c r="A44" s="11">
        <f>'DA - 58'!C48</f>
        <v>515</v>
      </c>
      <c r="B44" s="11">
        <f>'DA - 58'!D48</f>
        <v>485</v>
      </c>
      <c r="C44" s="11">
        <f>'DA - 58'!E48</f>
        <v>565</v>
      </c>
      <c r="D44" s="11">
        <f>'DA - 58'!G48</f>
        <v>655</v>
      </c>
      <c r="E44" s="11" t="str">
        <f>'DA - 58'!B48</f>
        <v>Frame: 58 ----- Stem: 100x30  ----- Carbon Aerobar + 20 + bridge</v>
      </c>
      <c r="F44" s="11" t="str">
        <f t="shared" si="4"/>
        <v/>
      </c>
      <c r="G44" s="11" t="str">
        <f t="shared" si="5"/>
        <v/>
      </c>
      <c r="H44" s="11" t="str">
        <f t="shared" si="6"/>
        <v/>
      </c>
      <c r="I44" s="11">
        <f t="shared" si="7"/>
        <v>-45</v>
      </c>
      <c r="J44" s="11">
        <v>1</v>
      </c>
      <c r="K44" s="11">
        <f t="shared" si="8"/>
        <v>1</v>
      </c>
      <c r="L44" s="11" t="str">
        <f>'DA - 58'!H48</f>
        <v xml:space="preserve">Aerobar Bolts: Top 25mm; Bottom 30mm </v>
      </c>
      <c r="M44" s="11" t="e">
        <f t="array" ref="M44">INDEX($D$8:$E$907, SMALL(IF($D$8:$D$907=$G$5, ROW($D$8:$D$907)-MIN(ROW($D$8:$D$907))+1), ROW(37:37)),2)</f>
        <v>#NUM!</v>
      </c>
      <c r="N44" s="11" t="str">
        <f t="shared" si="9"/>
        <v/>
      </c>
      <c r="O44" s="11" t="str">
        <f t="shared" si="17"/>
        <v/>
      </c>
      <c r="P44" s="11" t="str">
        <f t="shared" si="11"/>
        <v/>
      </c>
      <c r="Q44" s="11" t="str">
        <f t="shared" si="12"/>
        <v/>
      </c>
      <c r="R44" s="11" t="str">
        <f t="shared" si="13"/>
        <v/>
      </c>
      <c r="U44" s="11">
        <f>'Data - DA'!S15</f>
        <v>51</v>
      </c>
      <c r="V44" s="11">
        <f>'Data - DA'!T15</f>
        <v>435</v>
      </c>
      <c r="W44" s="11">
        <f>'Data - DA'!U15</f>
        <v>425</v>
      </c>
      <c r="X44" s="11">
        <f>'Data - DA'!V15</f>
        <v>465</v>
      </c>
      <c r="Y44" s="11">
        <f>'Data - DA'!W15</f>
        <v>455</v>
      </c>
      <c r="Z44" s="11">
        <f>'Data - DA'!X15</f>
        <v>460</v>
      </c>
      <c r="AA44" s="11">
        <f>'Data - DA'!Y15</f>
        <v>480</v>
      </c>
    </row>
    <row r="45" spans="1:27" x14ac:dyDescent="0.25">
      <c r="A45" s="11">
        <f>'DA - 58'!C49</f>
        <v>515</v>
      </c>
      <c r="B45" s="11">
        <f>'DA - 58'!D49</f>
        <v>485</v>
      </c>
      <c r="C45" s="11">
        <f>'DA - 58'!E49</f>
        <v>565</v>
      </c>
      <c r="D45" s="11">
        <f>'DA - 58'!G49</f>
        <v>660</v>
      </c>
      <c r="E45" s="11" t="str">
        <f>'DA - 58'!B49</f>
        <v>Frame: 58 ----- Stem: 100x30  ----- Carbon Aerobar + 30</v>
      </c>
      <c r="F45" s="11" t="str">
        <f t="shared" si="4"/>
        <v/>
      </c>
      <c r="G45" s="11">
        <f t="shared" si="5"/>
        <v>1</v>
      </c>
      <c r="H45" s="11" t="str">
        <f t="shared" si="6"/>
        <v/>
      </c>
      <c r="I45" s="11">
        <f t="shared" si="7"/>
        <v>-45</v>
      </c>
      <c r="J45" s="11">
        <v>1</v>
      </c>
      <c r="K45" s="11">
        <f t="shared" si="8"/>
        <v>1</v>
      </c>
      <c r="L45" s="11" t="str">
        <f>'DA - 58'!H49</f>
        <v xml:space="preserve">Aerobar Bolts: Top 25mm; Bottom 30mm </v>
      </c>
      <c r="M45" s="11" t="e">
        <f t="array" ref="M45">INDEX($D$8:$E$907, SMALL(IF($D$8:$D$907=$G$5, ROW($D$8:$D$907)-MIN(ROW($D$8:$D$907))+1), ROW(38:38)),2)</f>
        <v>#NUM!</v>
      </c>
      <c r="N45" s="11" t="str">
        <f t="shared" si="9"/>
        <v/>
      </c>
      <c r="O45" s="11" t="str">
        <f t="shared" si="17"/>
        <v/>
      </c>
      <c r="P45" s="11" t="str">
        <f t="shared" si="11"/>
        <v/>
      </c>
      <c r="Q45" s="11" t="str">
        <f t="shared" si="12"/>
        <v/>
      </c>
      <c r="R45" s="11" t="str">
        <f t="shared" si="13"/>
        <v/>
      </c>
      <c r="U45" s="11">
        <f>'Data - DA'!S16</f>
        <v>54</v>
      </c>
      <c r="V45" s="11">
        <f>'Data - DA'!T16</f>
        <v>455</v>
      </c>
      <c r="W45" s="11">
        <f>'Data - DA'!U16</f>
        <v>445</v>
      </c>
      <c r="X45" s="11">
        <f>'Data - DA'!V16</f>
        <v>485</v>
      </c>
      <c r="Y45" s="11">
        <f>'Data - DA'!W16</f>
        <v>475</v>
      </c>
      <c r="Z45" s="11">
        <f>'Data - DA'!X16</f>
        <v>480</v>
      </c>
      <c r="AA45" s="11">
        <f>'Data - DA'!Y16</f>
        <v>500</v>
      </c>
    </row>
    <row r="46" spans="1:27" x14ac:dyDescent="0.25">
      <c r="A46" s="11">
        <f>'DA - 58'!C50</f>
        <v>515</v>
      </c>
      <c r="B46" s="11">
        <f>'DA - 58'!D50</f>
        <v>485</v>
      </c>
      <c r="C46" s="11">
        <f>'DA - 58'!E50</f>
        <v>565</v>
      </c>
      <c r="D46" s="11">
        <f>'DA - 58'!G50</f>
        <v>660</v>
      </c>
      <c r="E46" s="11" t="str">
        <f>'DA - 58'!B50</f>
        <v>Frame: 58 ----- Stem: 100x30  ----- Carbon Aerobar + 20 + bridge + 5</v>
      </c>
      <c r="F46" s="11" t="str">
        <f t="shared" si="4"/>
        <v/>
      </c>
      <c r="G46" s="11" t="str">
        <f t="shared" si="5"/>
        <v/>
      </c>
      <c r="H46" s="11" t="str">
        <f t="shared" si="6"/>
        <v/>
      </c>
      <c r="I46" s="11">
        <f t="shared" si="7"/>
        <v>-45</v>
      </c>
      <c r="J46" s="11">
        <v>1</v>
      </c>
      <c r="K46" s="11">
        <f t="shared" si="8"/>
        <v>1</v>
      </c>
      <c r="L46" s="11" t="str">
        <f>'DA - 58'!H50</f>
        <v xml:space="preserve">Aerobar Bolts: Top 30mm; Bottom 30mm </v>
      </c>
      <c r="M46" s="11" t="e">
        <f t="array" ref="M46">INDEX($D$8:$E$907, SMALL(IF($D$8:$D$907=$G$5, ROW($D$8:$D$907)-MIN(ROW($D$8:$D$907))+1), ROW(39:39)),2)</f>
        <v>#NUM!</v>
      </c>
      <c r="N46" s="11" t="str">
        <f t="shared" si="9"/>
        <v/>
      </c>
      <c r="O46" s="11" t="str">
        <f t="shared" si="17"/>
        <v/>
      </c>
      <c r="P46" s="11" t="str">
        <f t="shared" si="11"/>
        <v/>
      </c>
      <c r="Q46" s="11" t="str">
        <f t="shared" si="12"/>
        <v/>
      </c>
      <c r="R46" s="11" t="str">
        <f t="shared" si="13"/>
        <v/>
      </c>
      <c r="U46" s="11">
        <f>'Data - DA'!S17</f>
        <v>56</v>
      </c>
      <c r="V46" s="11">
        <f>'Data - DA'!T17</f>
        <v>470</v>
      </c>
      <c r="W46" s="11">
        <f>'Data - DA'!U17</f>
        <v>460</v>
      </c>
      <c r="X46" s="11">
        <f>'Data - DA'!V17</f>
        <v>500</v>
      </c>
      <c r="Y46" s="11">
        <f>'Data - DA'!W17</f>
        <v>490</v>
      </c>
      <c r="Z46" s="11">
        <f>'Data - DA'!X17</f>
        <v>495</v>
      </c>
      <c r="AA46" s="11">
        <f>'Data - DA'!Y17</f>
        <v>515</v>
      </c>
    </row>
    <row r="47" spans="1:27" x14ac:dyDescent="0.25">
      <c r="A47" s="11">
        <f>'DA - 58'!C51</f>
        <v>515</v>
      </c>
      <c r="B47" s="11">
        <f>'DA - 58'!D51</f>
        <v>485</v>
      </c>
      <c r="C47" s="11">
        <f>'DA - 58'!E51</f>
        <v>565</v>
      </c>
      <c r="D47" s="11">
        <f>'DA - 58'!G51</f>
        <v>665</v>
      </c>
      <c r="E47" s="11" t="str">
        <f>'DA - 58'!B51</f>
        <v>Frame: 58 ----- Stem: 100x30  ----- Carbon Aerobar + 30 + bridge</v>
      </c>
      <c r="F47" s="11" t="str">
        <f t="shared" si="4"/>
        <v/>
      </c>
      <c r="G47" s="11">
        <f t="shared" si="5"/>
        <v>1</v>
      </c>
      <c r="H47" s="11" t="str">
        <f t="shared" si="6"/>
        <v/>
      </c>
      <c r="I47" s="11">
        <f t="shared" si="7"/>
        <v>-45</v>
      </c>
      <c r="J47" s="11">
        <v>1</v>
      </c>
      <c r="K47" s="11">
        <f t="shared" si="8"/>
        <v>1</v>
      </c>
      <c r="L47" s="11" t="str">
        <f>'DA - 58'!H51</f>
        <v xml:space="preserve">Aerobar Bolts: Top 30mm; Bottom 30mm </v>
      </c>
      <c r="M47" s="11" t="e">
        <f t="array" ref="M47">INDEX($D$8:$E$907, SMALL(IF($D$8:$D$907=$G$5, ROW($D$8:$D$907)-MIN(ROW($D$8:$D$907))+1), ROW(40:40)),2)</f>
        <v>#NUM!</v>
      </c>
      <c r="N47" s="11" t="str">
        <f t="shared" si="9"/>
        <v/>
      </c>
      <c r="O47" s="11" t="str">
        <f t="shared" si="17"/>
        <v/>
      </c>
      <c r="P47" s="11" t="str">
        <f t="shared" si="11"/>
        <v/>
      </c>
      <c r="Q47" s="11" t="str">
        <f t="shared" si="12"/>
        <v/>
      </c>
      <c r="R47" s="11" t="str">
        <f t="shared" si="13"/>
        <v/>
      </c>
      <c r="U47" s="11">
        <f>'Data - DA'!S18</f>
        <v>58</v>
      </c>
      <c r="V47" s="11">
        <f>'Data - DA'!T18</f>
        <v>485</v>
      </c>
      <c r="W47" s="11">
        <f>'Data - DA'!U18</f>
        <v>475</v>
      </c>
      <c r="X47" s="11">
        <f>'Data - DA'!V18</f>
        <v>515</v>
      </c>
      <c r="Y47" s="11">
        <f>'Data - DA'!W18</f>
        <v>505</v>
      </c>
      <c r="Z47" s="11">
        <f>'Data - DA'!X18</f>
        <v>510</v>
      </c>
      <c r="AA47" s="11">
        <f>'Data - DA'!Y18</f>
        <v>530</v>
      </c>
    </row>
    <row r="48" spans="1:27" x14ac:dyDescent="0.25">
      <c r="A48" s="11">
        <f>'DA - 58'!C52</f>
        <v>515</v>
      </c>
      <c r="B48" s="11">
        <f>'DA - 58'!D52</f>
        <v>485</v>
      </c>
      <c r="C48" s="11">
        <f>'DA - 58'!E52</f>
        <v>565</v>
      </c>
      <c r="D48" s="11">
        <f>'DA - 58'!G52</f>
        <v>670</v>
      </c>
      <c r="E48" s="11" t="str">
        <f>'DA - 58'!B52</f>
        <v>Frame: 58 ----- Stem: 100x30  ----- Carbon Aerobar + 30 + bridge + 5</v>
      </c>
      <c r="F48" s="11" t="str">
        <f t="shared" si="4"/>
        <v/>
      </c>
      <c r="G48" s="11">
        <f t="shared" si="5"/>
        <v>1</v>
      </c>
      <c r="H48" s="11" t="str">
        <f t="shared" si="6"/>
        <v/>
      </c>
      <c r="I48" s="11">
        <f t="shared" si="7"/>
        <v>-45</v>
      </c>
      <c r="J48" s="11">
        <v>1</v>
      </c>
      <c r="K48" s="11">
        <f t="shared" si="8"/>
        <v>1</v>
      </c>
      <c r="L48" s="11" t="str">
        <f>'DA - 58'!H52</f>
        <v xml:space="preserve">Aerobar Bolts: Top 35mm; Bottom 30mm </v>
      </c>
      <c r="M48" s="11" t="e">
        <f t="array" ref="M48">INDEX($D$8:$E$907, SMALL(IF($D$8:$D$907=$G$5, ROW($D$8:$D$907)-MIN(ROW($D$8:$D$907))+1), ROW(41:41)),2)</f>
        <v>#NUM!</v>
      </c>
      <c r="N48" s="11" t="str">
        <f t="shared" si="9"/>
        <v/>
      </c>
      <c r="O48" s="11" t="str">
        <f t="shared" si="17"/>
        <v/>
      </c>
      <c r="P48" s="11" t="str">
        <f t="shared" si="11"/>
        <v/>
      </c>
      <c r="Q48" s="11" t="str">
        <f t="shared" si="12"/>
        <v/>
      </c>
      <c r="R48" s="11" t="str">
        <f t="shared" si="13"/>
        <v/>
      </c>
      <c r="U48" s="11" t="str">
        <f>'Data - DA'!S19</f>
        <v>Neutral Min</v>
      </c>
      <c r="V48" s="11">
        <f>'Data - DA'!T19</f>
        <v>0</v>
      </c>
      <c r="W48" s="11">
        <f>'Data - DA'!U19</f>
        <v>0</v>
      </c>
      <c r="X48" s="11">
        <f>'Data - DA'!V19</f>
        <v>0</v>
      </c>
      <c r="Y48" s="11">
        <f>'Data - DA'!W19</f>
        <v>0</v>
      </c>
      <c r="Z48" s="11">
        <f>'Data - DA'!X19</f>
        <v>0</v>
      </c>
      <c r="AA48" s="11">
        <f>'Data - DA'!Y19</f>
        <v>0</v>
      </c>
    </row>
    <row r="49" spans="1:27" x14ac:dyDescent="0.25">
      <c r="A49" s="11">
        <f>'DA - 58'!C53</f>
        <v>515</v>
      </c>
      <c r="B49" s="11">
        <f>'DA - 58'!D53</f>
        <v>485</v>
      </c>
      <c r="C49" s="11">
        <f>'DA - 58'!E53</f>
        <v>565</v>
      </c>
      <c r="D49" s="11">
        <f>'DA - 58'!G53</f>
        <v>675</v>
      </c>
      <c r="E49" s="11" t="str">
        <f>'DA - 58'!B53</f>
        <v>Frame: 58 ----- Stem: 100x30  ----- Carbon Aerobar + 40 + bridge</v>
      </c>
      <c r="F49" s="11" t="str">
        <f t="shared" si="4"/>
        <v/>
      </c>
      <c r="G49" s="11" t="str">
        <f t="shared" si="5"/>
        <v/>
      </c>
      <c r="H49" s="11">
        <f t="shared" si="6"/>
        <v>1</v>
      </c>
      <c r="I49" s="11">
        <f t="shared" si="7"/>
        <v>-45</v>
      </c>
      <c r="J49" s="11">
        <v>1</v>
      </c>
      <c r="K49" s="11">
        <f t="shared" si="8"/>
        <v>1</v>
      </c>
      <c r="L49" s="11" t="str">
        <f>'DA - 58'!H53</f>
        <v xml:space="preserve">Aerobar Bolts: Top 35mm; Bottom 30mm </v>
      </c>
      <c r="M49" s="11" t="e">
        <f t="array" ref="M49">INDEX($D$8:$E$907, SMALL(IF($D$8:$D$907=$G$5, ROW($D$8:$D$907)-MIN(ROW($D$8:$D$907))+1), ROW(42:42)),2)</f>
        <v>#NUM!</v>
      </c>
      <c r="N49" s="11" t="str">
        <f t="shared" si="9"/>
        <v/>
      </c>
      <c r="O49" s="11" t="str">
        <f t="shared" si="17"/>
        <v/>
      </c>
      <c r="P49" s="11" t="str">
        <f t="shared" si="11"/>
        <v/>
      </c>
      <c r="Q49" s="11" t="str">
        <f t="shared" si="12"/>
        <v/>
      </c>
      <c r="R49" s="11" t="str">
        <f t="shared" si="13"/>
        <v/>
      </c>
      <c r="U49" s="11">
        <f>'Data - DA'!S20</f>
        <v>47</v>
      </c>
      <c r="V49" s="11">
        <f>'Data - DA'!T20</f>
        <v>395</v>
      </c>
      <c r="W49" s="11">
        <f>'Data - DA'!U20</f>
        <v>385</v>
      </c>
      <c r="X49" s="11">
        <f>'Data - DA'!V20</f>
        <v>425</v>
      </c>
      <c r="Y49" s="11">
        <f>'Data - DA'!W20</f>
        <v>415</v>
      </c>
      <c r="Z49" s="11">
        <f>'Data - DA'!X20</f>
        <v>420</v>
      </c>
      <c r="AA49" s="11">
        <f>'Data - DA'!Y20</f>
        <v>440</v>
      </c>
    </row>
    <row r="50" spans="1:27" x14ac:dyDescent="0.25">
      <c r="A50" s="11">
        <f>'DA - 58'!C54</f>
        <v>515</v>
      </c>
      <c r="B50" s="11">
        <f>'DA - 58'!D54</f>
        <v>485</v>
      </c>
      <c r="C50" s="11">
        <f>'DA - 58'!E54</f>
        <v>565</v>
      </c>
      <c r="D50" s="11">
        <f>'DA - 58'!G54</f>
        <v>680</v>
      </c>
      <c r="E50" s="11" t="str">
        <f>'DA - 58'!B54</f>
        <v>Frame: 58 ----- Stem: 100x30  ----- Carbon Aerobar + 40 + bridge + 5</v>
      </c>
      <c r="F50" s="11" t="str">
        <f t="shared" si="4"/>
        <v/>
      </c>
      <c r="G50" s="11" t="str">
        <f t="shared" si="5"/>
        <v/>
      </c>
      <c r="H50" s="11">
        <f t="shared" si="6"/>
        <v>1</v>
      </c>
      <c r="I50" s="11">
        <f t="shared" si="7"/>
        <v>-45</v>
      </c>
      <c r="J50" s="11">
        <v>1</v>
      </c>
      <c r="K50" s="11">
        <f t="shared" si="8"/>
        <v>1</v>
      </c>
      <c r="L50" s="11" t="str">
        <f>'DA - 58'!H54</f>
        <v xml:space="preserve">Aerobar Bolts: Top 35mm; Bottom 30mm </v>
      </c>
      <c r="M50" s="11" t="s">
        <v>11</v>
      </c>
      <c r="O50" s="13" t="s">
        <v>51</v>
      </c>
      <c r="P50" s="12" t="s">
        <v>28</v>
      </c>
      <c r="Q50" s="11" t="str">
        <f>IFERROR(IF(VLOOKUP("1",E24:G248,3,FALSE)=1,N24,""),"")</f>
        <v/>
      </c>
      <c r="U50" s="11">
        <f>'Data - DA'!S21</f>
        <v>51</v>
      </c>
      <c r="V50" s="11">
        <f>'Data - DA'!T21</f>
        <v>405</v>
      </c>
      <c r="W50" s="11">
        <f>'Data - DA'!U21</f>
        <v>395</v>
      </c>
      <c r="X50" s="11">
        <f>'Data - DA'!V21</f>
        <v>435</v>
      </c>
      <c r="Y50" s="11">
        <f>'Data - DA'!W21</f>
        <v>425</v>
      </c>
      <c r="Z50" s="11">
        <f>'Data - DA'!X21</f>
        <v>430</v>
      </c>
      <c r="AA50" s="11">
        <f>'Data - DA'!Y21</f>
        <v>450</v>
      </c>
    </row>
    <row r="51" spans="1:27" x14ac:dyDescent="0.25">
      <c r="A51" s="11">
        <f>'DA - 58'!C55</f>
        <v>515</v>
      </c>
      <c r="B51" s="11">
        <f>'DA - 58'!D55</f>
        <v>485</v>
      </c>
      <c r="C51" s="11">
        <f>'DA - 58'!E55</f>
        <v>565</v>
      </c>
      <c r="D51" s="11">
        <f>'DA - 58'!G55</f>
        <v>685</v>
      </c>
      <c r="E51" s="11" t="str">
        <f>'DA - 58'!B55</f>
        <v>Frame: 58 ----- Stem: 100x30  ----- Carbon Aerobar + 40 + bridge + 10</v>
      </c>
      <c r="F51" s="11" t="str">
        <f t="shared" si="4"/>
        <v/>
      </c>
      <c r="G51" s="11" t="str">
        <f t="shared" si="5"/>
        <v/>
      </c>
      <c r="H51" s="11">
        <f t="shared" si="6"/>
        <v>1</v>
      </c>
      <c r="I51" s="11">
        <f t="shared" si="7"/>
        <v>-45</v>
      </c>
      <c r="J51" s="11">
        <v>1</v>
      </c>
      <c r="K51" s="11">
        <f t="shared" si="8"/>
        <v>1</v>
      </c>
      <c r="L51" s="11" t="str">
        <f>'DA - 58'!H55</f>
        <v xml:space="preserve">Aerobar Bolts: Top 40mm; Bottom 30mm </v>
      </c>
      <c r="M51" s="11" t="s">
        <v>11</v>
      </c>
      <c r="P51" s="12" t="s">
        <v>25</v>
      </c>
      <c r="Q51" s="12" t="s">
        <v>26</v>
      </c>
      <c r="R51" s="12" t="s">
        <v>27</v>
      </c>
      <c r="U51" s="11">
        <f>'Data - DA'!S22</f>
        <v>54</v>
      </c>
      <c r="V51" s="11">
        <f>'Data - DA'!T22</f>
        <v>425</v>
      </c>
      <c r="W51" s="11">
        <f>'Data - DA'!U22</f>
        <v>415</v>
      </c>
      <c r="X51" s="11">
        <f>'Data - DA'!V22</f>
        <v>455</v>
      </c>
      <c r="Y51" s="11">
        <f>'Data - DA'!W22</f>
        <v>445</v>
      </c>
      <c r="Z51" s="11">
        <f>'Data - DA'!X22</f>
        <v>450</v>
      </c>
      <c r="AA51" s="11">
        <f>'Data - DA'!Y22</f>
        <v>470</v>
      </c>
    </row>
    <row r="52" spans="1:27" x14ac:dyDescent="0.25">
      <c r="A52" s="11">
        <f>'DA - 58'!C56</f>
        <v>515</v>
      </c>
      <c r="B52" s="11">
        <f>'DA - 58'!D56</f>
        <v>485</v>
      </c>
      <c r="C52" s="11">
        <f>'DA - 58'!E56</f>
        <v>565</v>
      </c>
      <c r="D52" s="11">
        <f>'DA - 58'!G56</f>
        <v>690</v>
      </c>
      <c r="E52" s="11" t="str">
        <f>'DA - 58'!B56</f>
        <v>Frame: 58 ----- Stem: 100x30  ----- Carbon Aerobar + 40 + bridge + 10 + 5</v>
      </c>
      <c r="F52" s="11" t="str">
        <f t="shared" si="4"/>
        <v/>
      </c>
      <c r="G52" s="11" t="str">
        <f t="shared" si="5"/>
        <v/>
      </c>
      <c r="H52" s="11">
        <f t="shared" si="6"/>
        <v>1</v>
      </c>
      <c r="I52" s="11">
        <f t="shared" si="7"/>
        <v>-45</v>
      </c>
      <c r="J52" s="11">
        <v>1</v>
      </c>
      <c r="K52" s="11">
        <f t="shared" si="8"/>
        <v>1</v>
      </c>
      <c r="L52" s="11" t="str">
        <f>'DA - 58'!H56</f>
        <v xml:space="preserve">Aerobar Bolts: Top 45mm; Bottom 30mm </v>
      </c>
      <c r="M52" s="11" t="s">
        <v>11</v>
      </c>
      <c r="P52" s="11" t="str">
        <f t="array" ref="P52">IFERROR(INDEX(P$8:P$49,SMALL(IF(P$8:P$49&lt;&gt;"",ROW(P$8:P$49)-ROW(P$8)+1),ROWS(Q$52:Q52))),"")</f>
        <v>Frame: 56 ----- Stem: 90x0  ----- Carbon Aerobar + 10</v>
      </c>
      <c r="Q52" s="11" t="str">
        <f t="array" ref="Q52">IFERROR(INDEX(Q$8:Q$49,SMALL(IF(Q$8:Q$49&lt;&gt;"",ROW(Q$8:Q$49)-ROW(Q$8)+1),ROWS(R$52:R52))),"")</f>
        <v>Frame: 54 ----- Stem: 90x0  ----- Carbon Aerobar + 30</v>
      </c>
      <c r="R52" s="11" t="str">
        <f t="array" ref="R52">IFERROR(INDEX(R$8:R$49,SMALL(IF(R$8:R$49&lt;&gt;"",ROW(R$8:R$49)-ROW(R$8)+1),ROWS(S$26:S26))),"")</f>
        <v>Frame: 47 ----- Stem: 70x30  ----- Aluminium Aerobar + 40 + bridge + 5</v>
      </c>
      <c r="U52" s="11">
        <f>'Data - DA'!S23</f>
        <v>56</v>
      </c>
      <c r="V52" s="11">
        <f>'Data - DA'!T23</f>
        <v>440</v>
      </c>
      <c r="W52" s="11">
        <f>'Data - DA'!U23</f>
        <v>430</v>
      </c>
      <c r="X52" s="11">
        <f>'Data - DA'!V23</f>
        <v>470</v>
      </c>
      <c r="Y52" s="11">
        <f>'Data - DA'!W23</f>
        <v>460</v>
      </c>
      <c r="Z52" s="11">
        <f>'Data - DA'!X23</f>
        <v>465</v>
      </c>
      <c r="AA52" s="11">
        <f>'Data - DA'!Y23</f>
        <v>485</v>
      </c>
    </row>
    <row r="53" spans="1:27" x14ac:dyDescent="0.25">
      <c r="A53" s="11">
        <f>'DA - 58'!C57</f>
        <v>505</v>
      </c>
      <c r="B53" s="11">
        <f>'DA - 58'!D57</f>
        <v>475</v>
      </c>
      <c r="C53" s="11">
        <f>'DA - 58'!E57</f>
        <v>555</v>
      </c>
      <c r="D53" s="11">
        <f>'DA - 58'!G57</f>
        <v>0</v>
      </c>
      <c r="E53" s="11" t="str">
        <f>'DA - 58'!B57</f>
        <v>Frame: 58 ----- Stem: 100x60  ----- Carbon Aerobar</v>
      </c>
      <c r="F53" s="11" t="str">
        <f t="shared" si="4"/>
        <v/>
      </c>
      <c r="G53" s="11" t="str">
        <f>IF(ISNUMBER(FIND(" 30",E53)),1,"")</f>
        <v/>
      </c>
      <c r="H53" s="11" t="str">
        <f t="shared" si="6"/>
        <v/>
      </c>
      <c r="I53" s="11">
        <f t="shared" si="7"/>
        <v>-35</v>
      </c>
      <c r="J53" s="11">
        <v>1</v>
      </c>
      <c r="K53" s="11">
        <f t="shared" si="8"/>
        <v>1</v>
      </c>
      <c r="L53" s="11" t="str">
        <f>'DA - 58'!H57</f>
        <v xml:space="preserve">Aerobar Bolts: Top N/A; Bottom N/A </v>
      </c>
      <c r="M53" s="11" t="s">
        <v>11</v>
      </c>
      <c r="P53" s="11" t="str">
        <f t="array" ref="P53">IFERROR(INDEX(P$8:P$49,SMALL(IF(P$8:P$49&lt;&gt;"",ROW(P$8:P$49)-ROW(P$8)+1),ROWS(Q$52:Q53))),"")</f>
        <v>Frame: 54 ----- Stem: 90x0  ----- Carbon Aerobar + 20 + bridge + 5</v>
      </c>
      <c r="Q53" s="11" t="str">
        <f t="array" ref="Q53">IFERROR(INDEX(Q$8:Q$49,SMALL(IF(Q$8:Q$49&lt;&gt;"",ROW(Q$8:Q$49)-ROW(Q$8)+1),ROWS(R$52:R53))),"")</f>
        <v>Frame: 54 ----- Stem: 110x0  ----- Carbon Aerobar + 30</v>
      </c>
      <c r="R53" s="11" t="str">
        <f t="array" ref="R53">IFERROR(INDEX(R$8:R$49,SMALL(IF(R$8:R$49&lt;&gt;"",ROW(R$8:R$49)-ROW(R$8)+1),ROWS(S$26:S27))),"")</f>
        <v>Frame: 47 ----- Stem: 100x30  ----- Aluminium Aerobar + 40 + bridge + 5</v>
      </c>
      <c r="U53" s="11">
        <f>'Data - DA'!S24</f>
        <v>58</v>
      </c>
      <c r="V53" s="11">
        <f>'Data - DA'!T24</f>
        <v>455</v>
      </c>
      <c r="W53" s="11">
        <f>'Data - DA'!U24</f>
        <v>445</v>
      </c>
      <c r="X53" s="11">
        <f>'Data - DA'!V24</f>
        <v>485</v>
      </c>
      <c r="Y53" s="11">
        <f>'Data - DA'!W24</f>
        <v>475</v>
      </c>
      <c r="Z53" s="11">
        <f>'Data - DA'!X24</f>
        <v>480</v>
      </c>
      <c r="AA53" s="11">
        <f>'Data - DA'!Y24</f>
        <v>500</v>
      </c>
    </row>
    <row r="54" spans="1:27" x14ac:dyDescent="0.25">
      <c r="A54" s="11">
        <f>'DA - 58'!C58</f>
        <v>505</v>
      </c>
      <c r="B54" s="11">
        <f>'DA - 58'!D58</f>
        <v>475</v>
      </c>
      <c r="C54" s="11">
        <f>'DA - 58'!E58</f>
        <v>555</v>
      </c>
      <c r="D54" s="11">
        <f>'DA - 58'!G58</f>
        <v>665</v>
      </c>
      <c r="E54" s="11" t="str">
        <f>'DA - 58'!B58</f>
        <v>Frame: 58 ----- Stem: 100x60  ----- Carbon Aerobar + 5</v>
      </c>
      <c r="F54" s="11" t="str">
        <f t="shared" si="4"/>
        <v/>
      </c>
      <c r="G54" s="11" t="str">
        <f t="shared" si="5"/>
        <v/>
      </c>
      <c r="H54" s="11" t="str">
        <f t="shared" si="6"/>
        <v/>
      </c>
      <c r="I54" s="11">
        <f t="shared" si="7"/>
        <v>-35</v>
      </c>
      <c r="J54" s="11">
        <v>1</v>
      </c>
      <c r="K54" s="11">
        <f t="shared" si="8"/>
        <v>1</v>
      </c>
      <c r="L54" s="11" t="str">
        <f>'DA - 58'!H58</f>
        <v xml:space="preserve">Aerobar Bolts: Top 45mm; Bottom N/A </v>
      </c>
      <c r="M54" s="11" t="s">
        <v>11</v>
      </c>
      <c r="P54" s="11" t="str">
        <f t="array" ref="P54">IFERROR(INDEX(P$8:P$49,SMALL(IF(P$8:P$49&lt;&gt;"",ROW(P$8:P$49)-ROW(P$8)+1),ROWS(Q$52:Q54))),"")</f>
        <v>Frame: 54 ----- Stem: 110x0  ----- Carbon Aerobar + 20 + bridge + 5</v>
      </c>
      <c r="Q54" s="11" t="str">
        <f t="array" ref="Q54">IFERROR(INDEX(Q$8:Q$49,SMALL(IF(Q$8:Q$49&lt;&gt;"",ROW(Q$8:Q$49)-ROW(Q$8)+1),ROWS(R$52:R54))),"")</f>
        <v>Frame: 51 ----- Stem: 90x0  ----- Carbon Aerobar + 30 + bridge + 5</v>
      </c>
      <c r="R54" s="11" t="str">
        <f t="array" ref="R54">IFERROR(INDEX(R$8:R$49,SMALL(IF(R$8:R$49&lt;&gt;"",ROW(R$8:R$49)-ROW(R$8)+1),ROWS(S$26:S28))),"")</f>
        <v/>
      </c>
      <c r="U54" s="11" t="str">
        <f>'Data - DA'!S25</f>
        <v>Nutral Max</v>
      </c>
      <c r="V54" s="11">
        <f>'Data - DA'!T25</f>
        <v>0</v>
      </c>
      <c r="W54" s="11">
        <f>'Data - DA'!U25</f>
        <v>0</v>
      </c>
      <c r="X54" s="11">
        <f>'Data - DA'!V25</f>
        <v>0</v>
      </c>
      <c r="Y54" s="11">
        <f>'Data - DA'!W25</f>
        <v>0</v>
      </c>
      <c r="Z54" s="11">
        <f>'Data - DA'!X25</f>
        <v>0</v>
      </c>
      <c r="AA54" s="11">
        <f>'Data - DA'!Y25</f>
        <v>0</v>
      </c>
    </row>
    <row r="55" spans="1:27" x14ac:dyDescent="0.25">
      <c r="A55" s="11">
        <f>'DA - 58'!C59</f>
        <v>505</v>
      </c>
      <c r="B55" s="11">
        <f>'DA - 58'!D59</f>
        <v>475</v>
      </c>
      <c r="C55" s="11">
        <f>'DA - 58'!E59</f>
        <v>555</v>
      </c>
      <c r="D55" s="11">
        <f>'DA - 58'!G59</f>
        <v>670</v>
      </c>
      <c r="E55" s="11" t="str">
        <f>'DA - 58'!B59</f>
        <v>Frame: 58 ----- Stem: 100x60  ----- Carbon Aerobar + 10</v>
      </c>
      <c r="F55" s="11" t="str">
        <f t="shared" si="4"/>
        <v/>
      </c>
      <c r="G55" s="11" t="str">
        <f t="shared" si="5"/>
        <v/>
      </c>
      <c r="H55" s="11" t="str">
        <f t="shared" si="6"/>
        <v/>
      </c>
      <c r="I55" s="11">
        <f t="shared" si="7"/>
        <v>-35</v>
      </c>
      <c r="J55" s="11">
        <v>1</v>
      </c>
      <c r="K55" s="11">
        <f t="shared" si="8"/>
        <v>1</v>
      </c>
      <c r="L55" s="11" t="str">
        <f>'DA - 58'!H59</f>
        <v xml:space="preserve">Aerobar Bolts: Top 50mm; Bottom N/A </v>
      </c>
      <c r="M55" s="11" t="s">
        <v>11</v>
      </c>
      <c r="P55" s="11" t="str">
        <f t="array" ref="P55">IFERROR(INDEX(P$8:P$49,SMALL(IF(P$8:P$49&lt;&gt;"",ROW(P$8:P$49)-ROW(P$8)+1),ROWS(Q$52:Q55))),"")</f>
        <v>Frame: 54 ----- Stem: 90x0  ----- Aluminium Aerobar + 5 + 10</v>
      </c>
      <c r="Q55" s="11" t="str">
        <f t="array" ref="Q55">IFERROR(INDEX(Q$8:Q$49,SMALL(IF(Q$8:Q$49&lt;&gt;"",ROW(Q$8:Q$49)-ROW(Q$8)+1),ROWS(R$52:R55))),"")</f>
        <v>Frame: 51 ----- Stem: 110x0  ----- Carbon Aerobar + 30 + bridge + 5</v>
      </c>
      <c r="R55" s="11" t="str">
        <f t="array" ref="R55">IFERROR(INDEX(R$8:R$49,SMALL(IF(R$8:R$49&lt;&gt;"",ROW(R$8:R$49)-ROW(R$8)+1),ROWS(S$26:S29))),"")</f>
        <v/>
      </c>
      <c r="U55" s="11">
        <f>'Data - DA'!S26</f>
        <v>47</v>
      </c>
      <c r="V55" s="11">
        <f>'Data - DA'!T26</f>
        <v>475</v>
      </c>
      <c r="W55" s="11">
        <f>'Data - DA'!U26</f>
        <v>465</v>
      </c>
      <c r="X55" s="11">
        <f>'Data - DA'!V26</f>
        <v>505</v>
      </c>
      <c r="Y55" s="11">
        <f>'Data - DA'!W26</f>
        <v>495</v>
      </c>
      <c r="Z55" s="11">
        <f>'Data - DA'!X26</f>
        <v>500</v>
      </c>
      <c r="AA55" s="11">
        <f>'Data - DA'!Y26</f>
        <v>520</v>
      </c>
    </row>
    <row r="56" spans="1:27" x14ac:dyDescent="0.25">
      <c r="A56" s="11">
        <f>'DA - 58'!C60</f>
        <v>505</v>
      </c>
      <c r="B56" s="11">
        <f>'DA - 58'!D60</f>
        <v>475</v>
      </c>
      <c r="C56" s="11">
        <f>'DA - 58'!E60</f>
        <v>555</v>
      </c>
      <c r="D56" s="11">
        <f>'DA - 58'!G60</f>
        <v>675</v>
      </c>
      <c r="E56" s="11" t="str">
        <f>'DA - 58'!B60</f>
        <v>Frame: 58 ----- Stem: 100x60  ----- Carbon Aerobar + 5 + 10</v>
      </c>
      <c r="F56" s="11" t="str">
        <f t="shared" si="4"/>
        <v/>
      </c>
      <c r="G56" s="11" t="str">
        <f t="shared" si="5"/>
        <v/>
      </c>
      <c r="H56" s="11" t="str">
        <f t="shared" si="6"/>
        <v/>
      </c>
      <c r="I56" s="11">
        <f t="shared" si="7"/>
        <v>-35</v>
      </c>
      <c r="J56" s="11">
        <v>1</v>
      </c>
      <c r="K56" s="11">
        <f t="shared" si="8"/>
        <v>1</v>
      </c>
      <c r="L56" s="11" t="str">
        <f>'DA - 58'!H60</f>
        <v xml:space="preserve">Aerobar Bolts: Top 55mm; Bottom N/A </v>
      </c>
      <c r="M56" s="11" t="s">
        <v>11</v>
      </c>
      <c r="P56" s="11" t="str">
        <f t="array" ref="P56">IFERROR(INDEX(P$8:P$49,SMALL(IF(P$8:P$49&lt;&gt;"",ROW(P$8:P$49)-ROW(P$8)+1),ROWS(Q$52:Q56))),"")</f>
        <v>Frame: 54 ----- Stem: 110x0  ----- Aluminium Aerobar + 5 + 10</v>
      </c>
      <c r="Q56" s="11" t="str">
        <f t="array" ref="Q56">IFERROR(INDEX(Q$8:Q$49,SMALL(IF(Q$8:Q$49&lt;&gt;"",ROW(Q$8:Q$49)-ROW(Q$8)+1),ROWS(R$52:R56))),"")</f>
        <v>Frame: 47 ----- Stem: 100x60  ----- Carbon Aerobar + 30 + bridge</v>
      </c>
      <c r="R56" s="11" t="str">
        <f t="array" ref="R56">IFERROR(INDEX(R$8:R$49,SMALL(IF(R$8:R$49&lt;&gt;"",ROW(R$8:R$49)-ROW(R$8)+1),ROWS(S$26:S30))),"")</f>
        <v/>
      </c>
      <c r="U56" s="11">
        <f>'Data - DA'!S27</f>
        <v>51</v>
      </c>
      <c r="V56" s="11">
        <f>'Data - DA'!T27</f>
        <v>485</v>
      </c>
      <c r="W56" s="11">
        <f>'Data - DA'!U27</f>
        <v>475</v>
      </c>
      <c r="X56" s="11">
        <f>'Data - DA'!V27</f>
        <v>515</v>
      </c>
      <c r="Y56" s="11">
        <f>'Data - DA'!W27</f>
        <v>505</v>
      </c>
      <c r="Z56" s="11">
        <f>'Data - DA'!X27</f>
        <v>510</v>
      </c>
      <c r="AA56" s="11">
        <f>'Data - DA'!Y27</f>
        <v>530</v>
      </c>
    </row>
    <row r="57" spans="1:27" x14ac:dyDescent="0.25">
      <c r="A57" s="11">
        <f>'DA - 58'!C61</f>
        <v>505</v>
      </c>
      <c r="B57" s="11">
        <f>'DA - 58'!D61</f>
        <v>475</v>
      </c>
      <c r="C57" s="11">
        <f>'DA - 58'!E61</f>
        <v>555</v>
      </c>
      <c r="D57" s="11">
        <f>'DA - 58'!G61</f>
        <v>680</v>
      </c>
      <c r="E57" s="11" t="str">
        <f>'DA - 58'!B61</f>
        <v>Frame: 58 ----- Stem: 100x60  ----- Carbon Aerobar + 20</v>
      </c>
      <c r="F57" s="11" t="str">
        <f t="shared" si="4"/>
        <v/>
      </c>
      <c r="G57" s="11" t="str">
        <f>IF(ISNUMBER(FIND(" 30",E57)),1,"")</f>
        <v/>
      </c>
      <c r="H57" s="11" t="str">
        <f t="shared" si="6"/>
        <v/>
      </c>
      <c r="I57" s="11">
        <f t="shared" si="7"/>
        <v>-35</v>
      </c>
      <c r="J57" s="11">
        <v>1</v>
      </c>
      <c r="K57" s="11">
        <f t="shared" si="8"/>
        <v>1</v>
      </c>
      <c r="L57" s="11" t="str">
        <f>'DA - 58'!H61</f>
        <v xml:space="preserve">Aerobar Bolts: Top 20mm; Bottom 30mm </v>
      </c>
      <c r="M57" s="11" t="s">
        <v>11</v>
      </c>
      <c r="O57" s="13"/>
      <c r="P57" s="11" t="str">
        <f t="array" ref="P57">IFERROR(INDEX(P$8:P$49,SMALL(IF(P$8:P$49&lt;&gt;"",ROW(P$8:P$49)-ROW(P$8)+1),ROWS(Q$52:Q57))),"")</f>
        <v>Frame: 51 ----- Stem: 70x30  ----- Carbon Aerobar + 10</v>
      </c>
      <c r="Q57" s="11" t="str">
        <f t="array" ref="Q57">IFERROR(INDEX(Q$8:Q$49,SMALL(IF(Q$8:Q$49&lt;&gt;"",ROW(Q$8:Q$49)-ROW(Q$8)+1),ROWS(R$52:R57))),"")</f>
        <v/>
      </c>
      <c r="R57" s="11" t="str">
        <f t="array" ref="R57">IFERROR(INDEX(R$8:R$49,SMALL(IF(R$8:R$49&lt;&gt;"",ROW(R$8:R$49)-ROW(R$8)+1),ROWS(S$26:S31))),"")</f>
        <v/>
      </c>
      <c r="U57" s="11">
        <f>'Data - DA'!S28</f>
        <v>54</v>
      </c>
      <c r="V57" s="11">
        <f>'Data - DA'!T28</f>
        <v>505</v>
      </c>
      <c r="W57" s="11">
        <f>'Data - DA'!U28</f>
        <v>495</v>
      </c>
      <c r="X57" s="11">
        <f>'Data - DA'!V28</f>
        <v>535</v>
      </c>
      <c r="Y57" s="11">
        <f>'Data - DA'!W28</f>
        <v>525</v>
      </c>
      <c r="Z57" s="11">
        <f>'Data - DA'!X28</f>
        <v>530</v>
      </c>
      <c r="AA57" s="11">
        <f>'Data - DA'!Y28</f>
        <v>550</v>
      </c>
    </row>
    <row r="58" spans="1:27" x14ac:dyDescent="0.25">
      <c r="A58" s="11">
        <f>'DA - 58'!C62</f>
        <v>505</v>
      </c>
      <c r="B58" s="11">
        <f>'DA - 58'!D62</f>
        <v>475</v>
      </c>
      <c r="C58" s="11">
        <f>'DA - 58'!E62</f>
        <v>555</v>
      </c>
      <c r="D58" s="11">
        <f>'DA - 58'!G62</f>
        <v>685</v>
      </c>
      <c r="E58" s="11" t="str">
        <f>'DA - 58'!B62</f>
        <v>Frame: 58 ----- Stem: 100x60  ----- Carbon Aerobar + 20 + 5</v>
      </c>
      <c r="F58" s="11" t="str">
        <f t="shared" si="4"/>
        <v/>
      </c>
      <c r="G58" s="11" t="str">
        <f t="shared" si="5"/>
        <v/>
      </c>
      <c r="H58" s="11" t="str">
        <f t="shared" si="6"/>
        <v/>
      </c>
      <c r="I58" s="11">
        <f t="shared" si="7"/>
        <v>-35</v>
      </c>
      <c r="J58" s="11">
        <v>1</v>
      </c>
      <c r="K58" s="11">
        <f t="shared" si="8"/>
        <v>1</v>
      </c>
      <c r="L58" s="11" t="str">
        <f>'DA - 58'!H62</f>
        <v xml:space="preserve">Aerobar Bolts: Top 25mm; Bottom 30mm </v>
      </c>
      <c r="M58" s="11" t="s">
        <v>11</v>
      </c>
      <c r="P58" s="11" t="str">
        <f t="array" ref="P58">IFERROR(INDEX(P$8:P$49,SMALL(IF(P$8:P$49&lt;&gt;"",ROW(P$8:P$49)-ROW(P$8)+1),ROWS(Q$52:Q58))),"")</f>
        <v>Frame: 51 ----- Stem: 100x30  ----- Carbon Aerobar + 10</v>
      </c>
      <c r="Q58" s="11" t="str">
        <f t="array" ref="Q58">IFERROR(INDEX(Q$8:Q$49,SMALL(IF(Q$8:Q$49&lt;&gt;"",ROW(Q$8:Q$49)-ROW(Q$8)+1),ROWS(R$52:R58))),"")</f>
        <v/>
      </c>
      <c r="R58" s="11" t="str">
        <f t="array" ref="R58">IFERROR(INDEX(R$8:R$49,SMALL(IF(R$8:R$49&lt;&gt;"",ROW(R$8:R$49)-ROW(R$8)+1),ROWS(S$26:S32))),"")</f>
        <v/>
      </c>
      <c r="U58" s="11">
        <f>'Data - DA'!S29</f>
        <v>56</v>
      </c>
      <c r="V58" s="11">
        <f>'Data - DA'!T29</f>
        <v>520</v>
      </c>
      <c r="W58" s="11">
        <f>'Data - DA'!U29</f>
        <v>510</v>
      </c>
      <c r="X58" s="11">
        <f>'Data - DA'!V29</f>
        <v>550</v>
      </c>
      <c r="Y58" s="11">
        <f>'Data - DA'!W29</f>
        <v>540</v>
      </c>
      <c r="Z58" s="11">
        <f>'Data - DA'!X29</f>
        <v>545</v>
      </c>
      <c r="AA58" s="11">
        <f>'Data - DA'!Y29</f>
        <v>565</v>
      </c>
    </row>
    <row r="59" spans="1:27" x14ac:dyDescent="0.25">
      <c r="A59" s="11">
        <f>'DA - 58'!C63</f>
        <v>505</v>
      </c>
      <c r="B59" s="11">
        <f>'DA - 58'!D63</f>
        <v>475</v>
      </c>
      <c r="C59" s="11">
        <f>'DA - 58'!E63</f>
        <v>555</v>
      </c>
      <c r="D59" s="11">
        <f>'DA - 58'!G63</f>
        <v>685</v>
      </c>
      <c r="E59" s="11" t="str">
        <f>'DA - 58'!B63</f>
        <v>Frame: 58 ----- Stem: 100x60  ----- Carbon Aerobar + 20 + bridge</v>
      </c>
      <c r="F59" s="11" t="str">
        <f t="shared" si="4"/>
        <v/>
      </c>
      <c r="G59" s="11" t="str">
        <f t="shared" si="5"/>
        <v/>
      </c>
      <c r="H59" s="11" t="str">
        <f t="shared" si="6"/>
        <v/>
      </c>
      <c r="I59" s="11">
        <f t="shared" si="7"/>
        <v>-35</v>
      </c>
      <c r="J59" s="11">
        <v>1</v>
      </c>
      <c r="K59" s="11">
        <f t="shared" si="8"/>
        <v>1</v>
      </c>
      <c r="L59" s="11" t="str">
        <f>'DA - 58'!H63</f>
        <v xml:space="preserve">Aerobar Bolts: Top 25mm; Bottom 30mm </v>
      </c>
      <c r="M59" s="11" t="s">
        <v>11</v>
      </c>
      <c r="P59" s="11" t="str">
        <f t="array" ref="P59">IFERROR(INDEX(P$8:P$49,SMALL(IF(P$8:P$49&lt;&gt;"",ROW(P$8:P$49)-ROW(P$8)+1),ROWS(Q$52:Q59))),"")</f>
        <v>Frame: 51 ----- Stem: 90x0  ----- Aluminium Aerobar + 20 + 5</v>
      </c>
      <c r="Q59" s="11" t="str">
        <f t="array" ref="Q59">IFERROR(INDEX(Q$8:Q$49,SMALL(IF(Q$8:Q$49&lt;&gt;"",ROW(Q$8:Q$49)-ROW(Q$8)+1),ROWS(R$52:R59))),"")</f>
        <v/>
      </c>
      <c r="R59" s="11" t="str">
        <f t="array" ref="R59">IFERROR(INDEX(R$8:R$49,SMALL(IF(R$8:R$49&lt;&gt;"",ROW(R$8:R$49)-ROW(R$8)+1),ROWS(S$26:S33))),"")</f>
        <v/>
      </c>
      <c r="U59" s="11">
        <f>'Data - DA'!S30</f>
        <v>58</v>
      </c>
      <c r="V59" s="11">
        <f>'Data - DA'!T30</f>
        <v>535</v>
      </c>
      <c r="W59" s="11">
        <f>'Data - DA'!U30</f>
        <v>525</v>
      </c>
      <c r="X59" s="11">
        <f>'Data - DA'!V30</f>
        <v>565</v>
      </c>
      <c r="Y59" s="11">
        <f>'Data - DA'!W30</f>
        <v>555</v>
      </c>
      <c r="Z59" s="11">
        <f>'Data - DA'!X30</f>
        <v>560</v>
      </c>
      <c r="AA59" s="11">
        <f>'Data - DA'!Y30</f>
        <v>580</v>
      </c>
    </row>
    <row r="60" spans="1:27" x14ac:dyDescent="0.25">
      <c r="A60" s="11">
        <f>'DA - 58'!C64</f>
        <v>505</v>
      </c>
      <c r="B60" s="11">
        <f>'DA - 58'!D64</f>
        <v>475</v>
      </c>
      <c r="C60" s="11">
        <f>'DA - 58'!E64</f>
        <v>555</v>
      </c>
      <c r="D60" s="11">
        <f>'DA - 58'!G64</f>
        <v>690</v>
      </c>
      <c r="E60" s="11" t="str">
        <f>'DA - 58'!B64</f>
        <v>Frame: 58 ----- Stem: 100x60  ----- Carbon Aerobar + 30</v>
      </c>
      <c r="F60" s="11" t="str">
        <f t="shared" si="4"/>
        <v/>
      </c>
      <c r="G60" s="11">
        <f t="shared" si="5"/>
        <v>1</v>
      </c>
      <c r="H60" s="11" t="str">
        <f t="shared" si="6"/>
        <v/>
      </c>
      <c r="I60" s="11">
        <f t="shared" si="7"/>
        <v>-35</v>
      </c>
      <c r="J60" s="11">
        <v>1</v>
      </c>
      <c r="K60" s="11">
        <f t="shared" si="8"/>
        <v>1</v>
      </c>
      <c r="L60" s="11" t="str">
        <f>'DA - 58'!H64</f>
        <v xml:space="preserve">Aerobar Bolts: Top 25mm; Bottom 30mm </v>
      </c>
      <c r="M60" s="11" t="s">
        <v>11</v>
      </c>
      <c r="P60" s="11" t="str">
        <f t="array" ref="P60">IFERROR(INDEX(P$8:P$49,SMALL(IF(P$8:P$49&lt;&gt;"",ROW(P$8:P$49)-ROW(P$8)+1),ROWS(Q$52:Q60))),"")</f>
        <v>Frame: 51 ----- Stem: 90x0  ----- Aluminium Aerobar + 20 + bridge</v>
      </c>
      <c r="Q60" s="11" t="str">
        <f t="array" ref="Q60">IFERROR(INDEX(Q$8:Q$49,SMALL(IF(Q$8:Q$49&lt;&gt;"",ROW(Q$8:Q$49)-ROW(Q$8)+1),ROWS(R$52:R60))),"")</f>
        <v/>
      </c>
      <c r="R60" s="11" t="str">
        <f t="array" ref="R60">IFERROR(INDEX(R$8:R$49,SMALL(IF(R$8:R$49&lt;&gt;"",ROW(R$8:R$49)-ROW(R$8)+1),ROWS(S$26:S34))),"")</f>
        <v/>
      </c>
    </row>
    <row r="61" spans="1:27" x14ac:dyDescent="0.25">
      <c r="A61" s="11">
        <f>'DA - 58'!C65</f>
        <v>505</v>
      </c>
      <c r="B61" s="11">
        <f>'DA - 58'!D65</f>
        <v>475</v>
      </c>
      <c r="C61" s="11">
        <f>'DA - 58'!E65</f>
        <v>555</v>
      </c>
      <c r="D61" s="11">
        <f>'DA - 58'!G65</f>
        <v>690</v>
      </c>
      <c r="E61" s="11" t="str">
        <f>'DA - 58'!B65</f>
        <v>Frame: 58 ----- Stem: 100x60  ----- Carbon Aerobar + 20 + bridge + 5</v>
      </c>
      <c r="F61" s="11" t="str">
        <f t="shared" si="4"/>
        <v/>
      </c>
      <c r="G61" s="11" t="str">
        <f t="shared" si="5"/>
        <v/>
      </c>
      <c r="H61" s="11" t="str">
        <f t="shared" si="6"/>
        <v/>
      </c>
      <c r="I61" s="11">
        <f t="shared" si="7"/>
        <v>-35</v>
      </c>
      <c r="J61" s="11">
        <v>1</v>
      </c>
      <c r="K61" s="11">
        <f t="shared" si="8"/>
        <v>1</v>
      </c>
      <c r="L61" s="11" t="str">
        <f>'DA - 58'!H65</f>
        <v xml:space="preserve">Aerobar Bolts: Top 30mm; Bottom 30mm </v>
      </c>
      <c r="M61" s="11" t="s">
        <v>11</v>
      </c>
      <c r="P61" s="11" t="str">
        <f t="array" ref="P61">IFERROR(INDEX(P$8:P$49,SMALL(IF(P$8:P$49&lt;&gt;"",ROW(P$8:P$49)-ROW(P$8)+1),ROWS(Q$52:Q61))),"")</f>
        <v>Frame: 51 ----- Stem: 110x0  ----- Aluminium Aerobar + 20 + 5</v>
      </c>
      <c r="Q61" s="11" t="str">
        <f t="array" ref="Q61">IFERROR(INDEX(Q$8:Q$49,SMALL(IF(Q$8:Q$49&lt;&gt;"",ROW(Q$8:Q$49)-ROW(Q$8)+1),ROWS(R$52:R61))),"")</f>
        <v/>
      </c>
      <c r="R61" s="11" t="str">
        <f t="array" ref="R61">IFERROR(INDEX(R$8:R$49,SMALL(IF(R$8:R$49&lt;&gt;"",ROW(R$8:R$49)-ROW(R$8)+1),ROWS(S$26:S35))),"")</f>
        <v/>
      </c>
    </row>
    <row r="62" spans="1:27" x14ac:dyDescent="0.25">
      <c r="A62" s="11">
        <f>'DA - 58'!C66</f>
        <v>505</v>
      </c>
      <c r="B62" s="11">
        <f>'DA - 58'!D66</f>
        <v>475</v>
      </c>
      <c r="C62" s="11">
        <f>'DA - 58'!E66</f>
        <v>555</v>
      </c>
      <c r="D62" s="11">
        <f>'DA - 58'!G66</f>
        <v>695</v>
      </c>
      <c r="E62" s="11" t="str">
        <f>'DA - 58'!B66</f>
        <v>Frame: 58 ----- Stem: 100x60  ----- Carbon Aerobar + 30 + bridge</v>
      </c>
      <c r="F62" s="11" t="str">
        <f>IF(AND($F$5&gt;=B62,$F$5&lt;=C62),1,"")</f>
        <v/>
      </c>
      <c r="G62" s="11">
        <f t="shared" si="5"/>
        <v>1</v>
      </c>
      <c r="H62" s="11" t="str">
        <f t="shared" si="6"/>
        <v/>
      </c>
      <c r="I62" s="11">
        <f t="shared" si="7"/>
        <v>-35</v>
      </c>
      <c r="J62" s="11">
        <v>1</v>
      </c>
      <c r="K62" s="11">
        <f t="shared" si="8"/>
        <v>1</v>
      </c>
      <c r="L62" s="11" t="str">
        <f>'DA - 58'!H66</f>
        <v xml:space="preserve">Aerobar Bolts: Top 30mm; Bottom 30mm </v>
      </c>
      <c r="M62" s="11" t="s">
        <v>11</v>
      </c>
      <c r="P62" s="11" t="str">
        <f t="array" ref="P62">IFERROR(INDEX(P$8:P$49,SMALL(IF(P$8:P$49&lt;&gt;"",ROW(P$8:P$49)-ROW(P$8)+1),ROWS(Q$52:Q62))),"")</f>
        <v>Frame: 51 ----- Stem: 110x0  ----- Aluminium Aerobar + 20 + bridge</v>
      </c>
      <c r="Q62" s="11" t="str">
        <f t="array" ref="Q62">IFERROR(INDEX(Q$8:Q$49,SMALL(IF(Q$8:Q$49&lt;&gt;"",ROW(Q$8:Q$49)-ROW(Q$8)+1),ROWS(R$52:R62))),"")</f>
        <v/>
      </c>
      <c r="R62" s="11" t="str">
        <f t="array" ref="R62">IFERROR(INDEX(R$8:R$49,SMALL(IF(R$8:R$49&lt;&gt;"",ROW(R$8:R$49)-ROW(R$8)+1),ROWS(S$26:S36))),"")</f>
        <v/>
      </c>
    </row>
    <row r="63" spans="1:27" x14ac:dyDescent="0.25">
      <c r="A63" s="11">
        <f>'DA - 58'!C67</f>
        <v>505</v>
      </c>
      <c r="B63" s="11">
        <f>'DA - 58'!D67</f>
        <v>475</v>
      </c>
      <c r="C63" s="11">
        <f>'DA - 58'!E67</f>
        <v>555</v>
      </c>
      <c r="D63" s="11">
        <f>'DA - 58'!G67</f>
        <v>700</v>
      </c>
      <c r="E63" s="11" t="str">
        <f>'DA - 58'!B67</f>
        <v>Frame: 58 ----- Stem: 100x60  ----- Carbon Aerobar + 30 + bridge + 5</v>
      </c>
      <c r="F63" s="11" t="str">
        <f t="shared" si="4"/>
        <v/>
      </c>
      <c r="G63" s="11">
        <f t="shared" si="5"/>
        <v>1</v>
      </c>
      <c r="H63" s="11" t="str">
        <f t="shared" si="6"/>
        <v/>
      </c>
      <c r="I63" s="11">
        <f t="shared" si="7"/>
        <v>-35</v>
      </c>
      <c r="J63" s="11">
        <v>1</v>
      </c>
      <c r="K63" s="11">
        <f t="shared" si="8"/>
        <v>1</v>
      </c>
      <c r="L63" s="11" t="str">
        <f>'DA - 58'!H67</f>
        <v xml:space="preserve">Aerobar Bolts: Top 35mm; Bottom 30mm </v>
      </c>
      <c r="M63" s="11" t="s">
        <v>11</v>
      </c>
      <c r="P63" s="11" t="str">
        <f t="array" ref="P63">IFERROR(INDEX(P$8:P$49,SMALL(IF(P$8:P$49&lt;&gt;"",ROW(P$8:P$49)-ROW(P$8)+1),ROWS(Q$52:Q63))),"")</f>
        <v>Frame: 47 ----- Stem: 100x60  ----- Aluminium Aerobar + 20</v>
      </c>
      <c r="Q63" s="11" t="str">
        <f t="array" ref="Q63">IFERROR(INDEX(Q$8:Q$49,SMALL(IF(Q$8:Q$49&lt;&gt;"",ROW(Q$8:Q$49)-ROW(Q$8)+1),ROWS(R$52:R63))),"")</f>
        <v/>
      </c>
      <c r="R63" s="11" t="str">
        <f t="array" ref="R63">IFERROR(INDEX(R$8:R$49,SMALL(IF(R$8:R$49&lt;&gt;"",ROW(R$8:R$49)-ROW(R$8)+1),ROWS(S$26:S37))),"")</f>
        <v/>
      </c>
    </row>
    <row r="64" spans="1:27" x14ac:dyDescent="0.25">
      <c r="A64" s="11">
        <f>'DA - 58'!C68</f>
        <v>505</v>
      </c>
      <c r="B64" s="11">
        <f>'DA - 58'!D68</f>
        <v>475</v>
      </c>
      <c r="C64" s="11">
        <f>'DA - 58'!E68</f>
        <v>555</v>
      </c>
      <c r="D64" s="11">
        <f>'DA - 58'!G68</f>
        <v>705</v>
      </c>
      <c r="E64" s="11" t="str">
        <f>'DA - 58'!B68</f>
        <v>Frame: 58 ----- Stem: 100x60  ----- Carbon Aerobar + 40 + bridge</v>
      </c>
      <c r="F64" s="11" t="str">
        <f t="shared" si="4"/>
        <v/>
      </c>
      <c r="G64" s="11" t="str">
        <f t="shared" si="5"/>
        <v/>
      </c>
      <c r="H64" s="11">
        <f t="shared" si="6"/>
        <v>1</v>
      </c>
      <c r="I64" s="11">
        <f t="shared" si="7"/>
        <v>-35</v>
      </c>
      <c r="J64" s="11">
        <v>1</v>
      </c>
      <c r="K64" s="11">
        <f t="shared" si="8"/>
        <v>1</v>
      </c>
      <c r="L64" s="11" t="str">
        <f>'DA - 58'!H68</f>
        <v xml:space="preserve">Aerobar Bolts: Top 35mm; Bottom 30mm </v>
      </c>
      <c r="M64" s="11" t="s">
        <v>11</v>
      </c>
      <c r="P64" s="11" t="str">
        <f t="array" ref="P64">IFERROR(INDEX(P$8:P$49,SMALL(IF(P$8:P$49&lt;&gt;"",ROW(P$8:P$49)-ROW(P$8)+1),ROWS(Q$52:Q64))),"")</f>
        <v/>
      </c>
      <c r="Q64" s="11" t="str">
        <f t="array" ref="Q64">IFERROR(INDEX(Q$8:Q$49,SMALL(IF(Q$8:Q$49&lt;&gt;"",ROW(Q$8:Q$49)-ROW(Q$8)+1),ROWS(R$52:R64))),"")</f>
        <v/>
      </c>
      <c r="R64" s="11" t="str">
        <f t="array" ref="R64">IFERROR(INDEX(R$8:R$49,SMALL(IF(R$8:R$49&lt;&gt;"",ROW(R$8:R$49)-ROW(R$8)+1),ROWS(S$26:S38))),"")</f>
        <v/>
      </c>
    </row>
    <row r="65" spans="1:18" x14ac:dyDescent="0.25">
      <c r="A65" s="11">
        <f>'DA - 58'!C69</f>
        <v>505</v>
      </c>
      <c r="B65" s="11">
        <f>'DA - 58'!D69</f>
        <v>475</v>
      </c>
      <c r="C65" s="11">
        <f>'DA - 58'!E69</f>
        <v>555</v>
      </c>
      <c r="D65" s="11">
        <f>'DA - 58'!G69</f>
        <v>710</v>
      </c>
      <c r="E65" s="11" t="str">
        <f>'DA - 58'!B69</f>
        <v>Frame: 58 ----- Stem: 100x60  ----- Carbon Aerobar + 40 + bridge + 5</v>
      </c>
      <c r="F65" s="11" t="str">
        <f t="shared" si="4"/>
        <v/>
      </c>
      <c r="G65" s="11" t="str">
        <f t="shared" si="5"/>
        <v/>
      </c>
      <c r="H65" s="11">
        <f t="shared" si="6"/>
        <v>1</v>
      </c>
      <c r="I65" s="11">
        <f t="shared" si="7"/>
        <v>-35</v>
      </c>
      <c r="J65" s="11">
        <v>1</v>
      </c>
      <c r="K65" s="11">
        <f t="shared" si="8"/>
        <v>1</v>
      </c>
      <c r="L65" s="11" t="str">
        <f>'DA - 58'!H69</f>
        <v xml:space="preserve">Aerobar Bolts: Top 35mm; Bottom 30mm </v>
      </c>
      <c r="M65" s="11" t="s">
        <v>11</v>
      </c>
      <c r="P65" s="11" t="str">
        <f t="array" ref="P65">IFERROR(INDEX(P$8:P$49,SMALL(IF(P$8:P$49&lt;&gt;"",ROW(P$8:P$49)-ROW(P$8)+1),ROWS(Q$52:Q65))),"")</f>
        <v/>
      </c>
      <c r="Q65" s="11" t="str">
        <f t="array" ref="Q65">IFERROR(INDEX(Q$8:Q$49,SMALL(IF(Q$8:Q$49&lt;&gt;"",ROW(Q$8:Q$49)-ROW(Q$8)+1),ROWS(R$52:R65))),"")</f>
        <v/>
      </c>
      <c r="R65" s="11" t="str">
        <f t="array" ref="R65">IFERROR(INDEX(R$8:R$49,SMALL(IF(R$8:R$49&lt;&gt;"",ROW(R$8:R$49)-ROW(R$8)+1),ROWS(S$26:S39))),"")</f>
        <v/>
      </c>
    </row>
    <row r="66" spans="1:18" x14ac:dyDescent="0.25">
      <c r="A66" s="11">
        <f>'DA - 58'!C70</f>
        <v>505</v>
      </c>
      <c r="B66" s="11">
        <f>'DA - 58'!D70</f>
        <v>475</v>
      </c>
      <c r="C66" s="11">
        <f>'DA - 58'!E70</f>
        <v>555</v>
      </c>
      <c r="D66" s="11">
        <f>'DA - 58'!G70</f>
        <v>715</v>
      </c>
      <c r="E66" s="11" t="str">
        <f>'DA - 58'!B70</f>
        <v>Frame: 58 ----- Stem: 100x60  ----- Carbon Aerobar + 40 + bridge + 10</v>
      </c>
      <c r="F66" s="11" t="str">
        <f t="shared" si="4"/>
        <v/>
      </c>
      <c r="G66" s="11" t="str">
        <f t="shared" si="5"/>
        <v/>
      </c>
      <c r="H66" s="11">
        <f t="shared" si="6"/>
        <v>1</v>
      </c>
      <c r="I66" s="11">
        <f t="shared" si="7"/>
        <v>-35</v>
      </c>
      <c r="J66" s="11">
        <v>1</v>
      </c>
      <c r="K66" s="11">
        <f t="shared" si="8"/>
        <v>1</v>
      </c>
      <c r="L66" s="11" t="str">
        <f>'DA - 58'!H70</f>
        <v xml:space="preserve">Aerobar Bolts: Top 40mm; Bottom 30mm </v>
      </c>
      <c r="M66" s="11" t="s">
        <v>11</v>
      </c>
      <c r="P66" s="11" t="str">
        <f t="array" ref="P66">IFERROR(INDEX(P$8:P$49,SMALL(IF(P$8:P$49&lt;&gt;"",ROW(P$8:P$49)-ROW(P$8)+1),ROWS(Q$52:Q66))),"")</f>
        <v/>
      </c>
      <c r="Q66" s="11" t="str">
        <f t="array" ref="Q66">IFERROR(INDEX(Q$8:Q$49,SMALL(IF(Q$8:Q$49&lt;&gt;"",ROW(Q$8:Q$49)-ROW(Q$8)+1),ROWS(R$52:R66))),"")</f>
        <v/>
      </c>
      <c r="R66" s="11" t="str">
        <f t="array" ref="R66">IFERROR(INDEX(R$8:R$49,SMALL(IF(R$8:R$49&lt;&gt;"",ROW(R$8:R$49)-ROW(R$8)+1),ROWS(S$26:S40))),"")</f>
        <v/>
      </c>
    </row>
    <row r="67" spans="1:18" x14ac:dyDescent="0.25">
      <c r="A67" s="11">
        <f>'DA - 58'!C71</f>
        <v>505</v>
      </c>
      <c r="B67" s="11">
        <f>'DA - 58'!D71</f>
        <v>475</v>
      </c>
      <c r="C67" s="11">
        <f>'DA - 58'!E71</f>
        <v>555</v>
      </c>
      <c r="D67" s="11">
        <f>'DA - 58'!G71</f>
        <v>720</v>
      </c>
      <c r="E67" s="11" t="str">
        <f>'DA - 58'!B71</f>
        <v>Frame: 58 ----- Stem: 100x60  ----- Carbon Aerobar + 40 + bridge + 10 + 5</v>
      </c>
      <c r="F67" s="11" t="str">
        <f t="shared" si="4"/>
        <v/>
      </c>
      <c r="G67" s="11" t="str">
        <f t="shared" si="5"/>
        <v/>
      </c>
      <c r="H67" s="11">
        <f t="shared" si="6"/>
        <v>1</v>
      </c>
      <c r="I67" s="11">
        <f t="shared" si="7"/>
        <v>-35</v>
      </c>
      <c r="J67" s="11">
        <v>1</v>
      </c>
      <c r="K67" s="11">
        <f t="shared" si="8"/>
        <v>1</v>
      </c>
      <c r="L67" s="11" t="str">
        <f>'DA - 58'!H71</f>
        <v xml:space="preserve">Aerobar Bolts: Top 45mm; Bottom 30mm </v>
      </c>
      <c r="M67" s="11" t="s">
        <v>11</v>
      </c>
      <c r="P67" s="11" t="str">
        <f t="array" ref="P67">IFERROR(INDEX(P$8:P$49,SMALL(IF(P$8:P$49&lt;&gt;"",ROW(P$8:P$49)-ROW(P$8)+1),ROWS(Q$52:Q67))),"")</f>
        <v/>
      </c>
      <c r="Q67" s="11" t="str">
        <f t="array" ref="Q67">IFERROR(INDEX(Q$8:Q$49,SMALL(IF(Q$8:Q$49&lt;&gt;"",ROW(Q$8:Q$49)-ROW(Q$8)+1),ROWS(R$52:R67))),"")</f>
        <v/>
      </c>
      <c r="R67" s="11" t="str">
        <f t="array" ref="R67">IFERROR(INDEX(R$8:R$49,SMALL(IF(R$8:R$49&lt;&gt;"",ROW(R$8:R$49)-ROW(R$8)+1),ROWS(S$26:S41))),"")</f>
        <v/>
      </c>
    </row>
    <row r="68" spans="1:18" x14ac:dyDescent="0.25">
      <c r="A68" s="11">
        <f>'DA - 58'!C72</f>
        <v>510</v>
      </c>
      <c r="B68" s="11">
        <f>'DA - 58'!D72</f>
        <v>480</v>
      </c>
      <c r="C68" s="11">
        <f>'DA - 58'!E72</f>
        <v>560</v>
      </c>
      <c r="D68" s="11">
        <f>'DA - 58'!G72</f>
        <v>0</v>
      </c>
      <c r="E68" s="11" t="str">
        <f>'DA - 58'!B72</f>
        <v>Frame: 58 ----- Stem: 90x0  ----- Carbon Aerobar</v>
      </c>
      <c r="F68" s="11" t="str">
        <f t="shared" si="4"/>
        <v/>
      </c>
      <c r="G68" s="11" t="str">
        <f t="shared" si="5"/>
        <v/>
      </c>
      <c r="H68" s="11" t="str">
        <f t="shared" si="6"/>
        <v/>
      </c>
      <c r="I68" s="11">
        <f t="shared" si="7"/>
        <v>-40</v>
      </c>
      <c r="J68" s="11">
        <v>1</v>
      </c>
      <c r="K68" s="11">
        <f t="shared" si="8"/>
        <v>1</v>
      </c>
      <c r="L68" s="11" t="str">
        <f>'DA - 58'!H72</f>
        <v xml:space="preserve">Aerobar Bolts: Top N/A; Bottom N/A </v>
      </c>
      <c r="M68" s="11" t="s">
        <v>11</v>
      </c>
      <c r="O68" s="13" t="s">
        <v>51</v>
      </c>
      <c r="P68" s="11" t="str">
        <f t="array" ref="P68">IFERROR(INDEX(P$8:P$49,SMALL(IF(P$8:P$49&lt;&gt;"",ROW(P$8:P$49)-ROW(P$8)+1),ROWS(Q$52:Q68))),"")</f>
        <v/>
      </c>
      <c r="Q68" s="11" t="str">
        <f t="array" ref="Q68">IFERROR(INDEX(Q$8:Q$49,SMALL(IF(Q$8:Q$49&lt;&gt;"",ROW(Q$8:Q$49)-ROW(Q$8)+1),ROWS(R$52:R68))),"")</f>
        <v/>
      </c>
    </row>
    <row r="69" spans="1:18" x14ac:dyDescent="0.25">
      <c r="A69" s="11">
        <f>'DA - 58'!C73</f>
        <v>510</v>
      </c>
      <c r="B69" s="11">
        <f>'DA - 58'!D73</f>
        <v>480</v>
      </c>
      <c r="C69" s="11">
        <f>'DA - 58'!E73</f>
        <v>560</v>
      </c>
      <c r="D69" s="11">
        <f>'DA - 58'!G73</f>
        <v>605</v>
      </c>
      <c r="E69" s="11" t="str">
        <f>'DA - 58'!B73</f>
        <v>Frame: 58 ----- Stem: 90x0  ----- Carbon Aerobar + 5</v>
      </c>
      <c r="F69" s="11" t="str">
        <f t="shared" si="4"/>
        <v/>
      </c>
      <c r="G69" s="11" t="str">
        <f t="shared" si="5"/>
        <v/>
      </c>
      <c r="H69" s="11" t="str">
        <f t="shared" si="6"/>
        <v/>
      </c>
      <c r="I69" s="11">
        <f t="shared" si="7"/>
        <v>-40</v>
      </c>
      <c r="J69" s="11">
        <v>1</v>
      </c>
      <c r="K69" s="11">
        <f t="shared" si="8"/>
        <v>1</v>
      </c>
      <c r="L69" s="11" t="str">
        <f>'DA - 58'!H73</f>
        <v xml:space="preserve">Aerobar Bolts: Top 45mm; Bottom N/A </v>
      </c>
      <c r="M69" s="11" t="s">
        <v>11</v>
      </c>
      <c r="P69" s="11" t="str">
        <f t="array" ref="P69">IFERROR(INDEX(P$8:P$49,SMALL(IF(P$8:P$49&lt;&gt;"",ROW(P$8:P$49)-ROW(P$8)+1),ROWS(Q$52:Q69))),"")</f>
        <v/>
      </c>
      <c r="Q69" s="11" t="str">
        <f t="array" ref="Q69">IFERROR(INDEX(Q$8:Q$49,SMALL(IF(Q$8:Q$49&lt;&gt;"",ROW(Q$8:Q$49)-ROW(Q$8)+1),ROWS(R$52:R69))),"")</f>
        <v/>
      </c>
    </row>
    <row r="70" spans="1:18" x14ac:dyDescent="0.25">
      <c r="A70" s="11">
        <f>'DA - 58'!C74</f>
        <v>510</v>
      </c>
      <c r="B70" s="11">
        <f>'DA - 58'!D74</f>
        <v>480</v>
      </c>
      <c r="C70" s="11">
        <f>'DA - 58'!E74</f>
        <v>560</v>
      </c>
      <c r="D70" s="11">
        <f>'DA - 58'!G74</f>
        <v>610</v>
      </c>
      <c r="E70" s="11" t="str">
        <f>'DA - 58'!B74</f>
        <v>Frame: 58 ----- Stem: 90x0  ----- Carbon Aerobar + 10</v>
      </c>
      <c r="F70" s="11" t="str">
        <f t="shared" si="4"/>
        <v/>
      </c>
      <c r="G70" s="11" t="str">
        <f t="shared" si="5"/>
        <v/>
      </c>
      <c r="H70" s="11" t="str">
        <f t="shared" si="6"/>
        <v/>
      </c>
      <c r="I70" s="11">
        <f t="shared" si="7"/>
        <v>-40</v>
      </c>
      <c r="J70" s="11">
        <v>1</v>
      </c>
      <c r="K70" s="11">
        <f t="shared" si="8"/>
        <v>1</v>
      </c>
      <c r="L70" s="11" t="str">
        <f>'DA - 58'!H74</f>
        <v xml:space="preserve">Aerobar Bolts: Top 50mm; Bottom N/A </v>
      </c>
      <c r="M70" s="11" t="s">
        <v>11</v>
      </c>
      <c r="P70" s="11" t="str">
        <f t="array" ref="P70">IFERROR(INDEX(P$8:P$49,SMALL(IF(P$8:P$49&lt;&gt;"",ROW(P$8:P$49)-ROW(P$8)+1),ROWS(Q$52:Q70))),"")</f>
        <v/>
      </c>
      <c r="Q70" s="11" t="str">
        <f t="array" ref="Q70">IFERROR(INDEX(Q$8:Q$49,SMALL(IF(Q$8:Q$49&lt;&gt;"",ROW(Q$8:Q$49)-ROW(Q$8)+1),ROWS(R$52:R70))),"")</f>
        <v/>
      </c>
    </row>
    <row r="71" spans="1:18" x14ac:dyDescent="0.25">
      <c r="A71" s="11">
        <f>'DA - 58'!C75</f>
        <v>510</v>
      </c>
      <c r="B71" s="11">
        <f>'DA - 58'!D75</f>
        <v>480</v>
      </c>
      <c r="C71" s="11">
        <f>'DA - 58'!E75</f>
        <v>560</v>
      </c>
      <c r="D71" s="11">
        <f>'DA - 58'!G75</f>
        <v>615</v>
      </c>
      <c r="E71" s="11" t="str">
        <f>'DA - 58'!B75</f>
        <v>Frame: 58 ----- Stem: 90x0  ----- Carbon Aerobar + 5 + 10</v>
      </c>
      <c r="F71" s="11" t="str">
        <f>IF(AND($F$5&gt;=B71,$F$5&lt;=C71),1,"")</f>
        <v/>
      </c>
      <c r="G71" s="11" t="str">
        <f t="shared" si="5"/>
        <v/>
      </c>
      <c r="H71" s="11" t="str">
        <f t="shared" si="6"/>
        <v/>
      </c>
      <c r="I71" s="11">
        <f t="shared" si="7"/>
        <v>-40</v>
      </c>
      <c r="J71" s="11">
        <v>1</v>
      </c>
      <c r="K71" s="11">
        <f t="shared" si="8"/>
        <v>1</v>
      </c>
      <c r="L71" s="11" t="str">
        <f>'DA - 58'!H75</f>
        <v xml:space="preserve">Aerobar Bolts: Top 55mm; Bottom N/A </v>
      </c>
      <c r="M71" s="11" t="s">
        <v>11</v>
      </c>
      <c r="P71" s="11" t="str">
        <f t="array" ref="P71">IFERROR(INDEX(P$8:P$49,SMALL(IF(P$8:P$49&lt;&gt;"",ROW(P$8:P$49)-ROW(P$8)+1),ROWS(Q$52:Q71))),"")</f>
        <v/>
      </c>
      <c r="Q71" s="11" t="str">
        <f t="array" ref="Q71">IFERROR(INDEX(Q$8:Q$49,SMALL(IF(Q$8:Q$49&lt;&gt;"",ROW(Q$8:Q$49)-ROW(Q$8)+1),ROWS(R$52:R71))),"")</f>
        <v/>
      </c>
    </row>
    <row r="72" spans="1:18" x14ac:dyDescent="0.25">
      <c r="A72" s="11">
        <f>'DA - 58'!C76</f>
        <v>510</v>
      </c>
      <c r="B72" s="11">
        <f>'DA - 58'!D76</f>
        <v>480</v>
      </c>
      <c r="C72" s="11">
        <f>'DA - 58'!E76</f>
        <v>560</v>
      </c>
      <c r="D72" s="11">
        <f>'DA - 58'!G76</f>
        <v>620</v>
      </c>
      <c r="E72" s="11" t="str">
        <f>'DA - 58'!B76</f>
        <v>Frame: 58 ----- Stem: 90x0  ----- Carbon Aerobar + 20</v>
      </c>
      <c r="F72" s="11" t="str">
        <f t="shared" si="4"/>
        <v/>
      </c>
      <c r="G72" s="11" t="str">
        <f>IF(ISNUMBER(FIND(" 30",E72)),1,"")</f>
        <v/>
      </c>
      <c r="H72" s="11" t="str">
        <f t="shared" si="6"/>
        <v/>
      </c>
      <c r="I72" s="11">
        <f t="shared" si="7"/>
        <v>-40</v>
      </c>
      <c r="J72" s="11">
        <v>1</v>
      </c>
      <c r="K72" s="11">
        <f t="shared" si="8"/>
        <v>1</v>
      </c>
      <c r="L72" s="11" t="str">
        <f>'DA - 58'!H76</f>
        <v xml:space="preserve">Aerobar Bolts: Top 20mm; Bottom 30mm </v>
      </c>
      <c r="M72" s="11" t="s">
        <v>11</v>
      </c>
      <c r="O72" s="13"/>
      <c r="P72" s="11" t="str">
        <f t="array" ref="P72">IFERROR(INDEX(P$8:P$49,SMALL(IF(P$8:P$49&lt;&gt;"",ROW(P$8:P$49)-ROW(P$8)+1),ROWS(Q$52:Q72))),"")</f>
        <v/>
      </c>
      <c r="Q72" s="11" t="str">
        <f t="array" ref="Q72">IFERROR(INDEX(Q$8:Q$49,SMALL(IF(Q$8:Q$49&lt;&gt;"",ROW(Q$8:Q$49)-ROW(Q$8)+1),ROWS(R$52:R72))),"")</f>
        <v/>
      </c>
    </row>
    <row r="73" spans="1:18" x14ac:dyDescent="0.25">
      <c r="A73" s="11">
        <f>'DA - 58'!C77</f>
        <v>510</v>
      </c>
      <c r="B73" s="11">
        <f>'DA - 58'!D77</f>
        <v>480</v>
      </c>
      <c r="C73" s="11">
        <f>'DA - 58'!E77</f>
        <v>560</v>
      </c>
      <c r="D73" s="11">
        <f>'DA - 58'!G77</f>
        <v>625</v>
      </c>
      <c r="E73" s="11" t="str">
        <f>'DA - 58'!B77</f>
        <v>Frame: 58 ----- Stem: 90x0  ----- Carbon Aerobar + 20 + 5</v>
      </c>
      <c r="F73" s="11" t="str">
        <f t="shared" ref="F73:F100" si="18">IF(AND($F$5&gt;=B73,$F$5&lt;=C73),1,"")</f>
        <v/>
      </c>
      <c r="G73" s="11" t="str">
        <f t="shared" ref="G73:G136" si="19">IF(ISNUMBER(FIND(" 30",E73)),1,"")</f>
        <v/>
      </c>
      <c r="H73" s="11" t="str">
        <f t="shared" ref="H73:H136" si="20">IF(ISNUMBER(FIND(" 40",E73)),1,"")</f>
        <v/>
      </c>
      <c r="I73" s="11">
        <f t="shared" ref="I73:I136" si="21">$F$5-A73</f>
        <v>-40</v>
      </c>
      <c r="J73" s="11">
        <v>1</v>
      </c>
      <c r="K73" s="11">
        <f t="shared" ref="K73:K136" si="22">IF(ISNUMBER(FIND(" 58",E73)),$AD$9,IF(ISNUMBER(FIND(" 56",E73)),$AD$8,IF(ISNUMBER(FIND(" 54",E73)),$AD$7,IF(ISNUMBER(FIND(" 51",E73)),$AD$6,IF(ISNUMBER(FIND(" 47",E73)),$AD$5,"")))))</f>
        <v>1</v>
      </c>
      <c r="L73" s="11" t="str">
        <f>'DA - 58'!H77</f>
        <v xml:space="preserve">Aerobar Bolts: Top 25mm; Bottom 30mm </v>
      </c>
      <c r="M73" s="11" t="s">
        <v>11</v>
      </c>
      <c r="Q73" s="11" t="str">
        <f t="array" ref="Q73">IFERROR(INDEX(Q$8:Q$49,SMALL(IF(Q$8:Q$49&lt;&gt;"",ROW(Q$8:Q$49)-ROW(Q$8)+1),ROWS(R$52:R73))),"")</f>
        <v/>
      </c>
    </row>
    <row r="74" spans="1:18" x14ac:dyDescent="0.25">
      <c r="A74" s="11">
        <f>'DA - 58'!C78</f>
        <v>510</v>
      </c>
      <c r="B74" s="11">
        <f>'DA - 58'!D78</f>
        <v>480</v>
      </c>
      <c r="C74" s="11">
        <f>'DA - 58'!E78</f>
        <v>560</v>
      </c>
      <c r="D74" s="11">
        <f>'DA - 58'!G78</f>
        <v>625</v>
      </c>
      <c r="E74" s="11" t="str">
        <f>'DA - 58'!B78</f>
        <v>Frame: 58 ----- Stem: 90x0  ----- Carbon Aerobar + 20 + bridge</v>
      </c>
      <c r="F74" s="11" t="str">
        <f t="shared" si="18"/>
        <v/>
      </c>
      <c r="G74" s="11" t="str">
        <f t="shared" si="19"/>
        <v/>
      </c>
      <c r="H74" s="11" t="str">
        <f t="shared" si="20"/>
        <v/>
      </c>
      <c r="I74" s="11">
        <f t="shared" si="21"/>
        <v>-40</v>
      </c>
      <c r="J74" s="11">
        <v>1</v>
      </c>
      <c r="K74" s="11">
        <f t="shared" si="22"/>
        <v>1</v>
      </c>
      <c r="L74" s="11" t="str">
        <f>'DA - 58'!H78</f>
        <v xml:space="preserve">Aerobar Bolts: Top 25mm; Bottom 30mm </v>
      </c>
      <c r="M74" s="11" t="s">
        <v>11</v>
      </c>
      <c r="P74" s="12" t="s">
        <v>36</v>
      </c>
      <c r="R74" s="11" t="str">
        <f t="array" ref="R74">IFERROR(INDEX(R$8:R$22,SMALL(IF(R$8:R$22&lt;&gt;"",ROW(R$8:R$22)-ROW(R$8)+1),ROWS(S$26:S41))),"")</f>
        <v/>
      </c>
    </row>
    <row r="75" spans="1:18" x14ac:dyDescent="0.25">
      <c r="A75" s="11">
        <f>'DA - 58'!C79</f>
        <v>510</v>
      </c>
      <c r="B75" s="11">
        <f>'DA - 58'!D79</f>
        <v>480</v>
      </c>
      <c r="C75" s="11">
        <f>'DA - 58'!E79</f>
        <v>560</v>
      </c>
      <c r="D75" s="11">
        <f>'DA - 58'!G79</f>
        <v>630</v>
      </c>
      <c r="E75" s="11" t="str">
        <f>'DA - 58'!B79</f>
        <v>Frame: 58 ----- Stem: 90x0  ----- Carbon Aerobar + 30</v>
      </c>
      <c r="F75" s="11" t="str">
        <f t="shared" si="18"/>
        <v/>
      </c>
      <c r="G75" s="11">
        <f t="shared" si="19"/>
        <v>1</v>
      </c>
      <c r="H75" s="11" t="str">
        <f t="shared" si="20"/>
        <v/>
      </c>
      <c r="I75" s="11">
        <f t="shared" si="21"/>
        <v>-40</v>
      </c>
      <c r="J75" s="11">
        <v>1</v>
      </c>
      <c r="K75" s="11">
        <f t="shared" si="22"/>
        <v>1</v>
      </c>
      <c r="L75" s="11" t="str">
        <f>'DA - 58'!H79</f>
        <v xml:space="preserve">Aerobar Bolts: Top 25mm; Bottom 30mm </v>
      </c>
      <c r="M75" s="11" t="s">
        <v>11</v>
      </c>
      <c r="P75" s="12" t="s">
        <v>25</v>
      </c>
      <c r="Q75" s="12" t="s">
        <v>26</v>
      </c>
      <c r="R75" s="12" t="s">
        <v>27</v>
      </c>
    </row>
    <row r="76" spans="1:18" x14ac:dyDescent="0.25">
      <c r="A76" s="11">
        <f>'DA - 58'!C80</f>
        <v>510</v>
      </c>
      <c r="B76" s="11">
        <f>'DA - 58'!D80</f>
        <v>480</v>
      </c>
      <c r="C76" s="11">
        <f>'DA - 58'!E80</f>
        <v>560</v>
      </c>
      <c r="D76" s="11">
        <f>'DA - 58'!G80</f>
        <v>630</v>
      </c>
      <c r="E76" s="11" t="str">
        <f>'DA - 58'!B80</f>
        <v>Frame: 58 ----- Stem: 90x0  ----- Carbon Aerobar + 20 + bridge + 5</v>
      </c>
      <c r="F76" s="11" t="str">
        <f t="shared" si="18"/>
        <v/>
      </c>
      <c r="G76" s="11" t="str">
        <f t="shared" si="19"/>
        <v/>
      </c>
      <c r="H76" s="11" t="str">
        <f t="shared" si="20"/>
        <v/>
      </c>
      <c r="I76" s="11">
        <f t="shared" si="21"/>
        <v>-40</v>
      </c>
      <c r="J76" s="11">
        <v>1</v>
      </c>
      <c r="K76" s="11">
        <f t="shared" si="22"/>
        <v>1</v>
      </c>
      <c r="L76" s="11" t="str">
        <f>'DA - 58'!H80</f>
        <v xml:space="preserve">Aerobar Bolts: Top 30mm; Bottom 30mm </v>
      </c>
      <c r="M76" s="11" t="s">
        <v>11</v>
      </c>
      <c r="P76" s="7" t="str">
        <f t="shared" ref="P76:R80" si="23">IF(P52="","",TEXT(P52,0)&amp;"  with reach: "&amp;IFERROR(VLOOKUP(P52,$E$8:$I$907,5,FALSE)&amp;" mm",""))</f>
        <v>Frame: 56 ----- Stem: 90x0  ----- Carbon Aerobar + 10  with reach: -25 mm</v>
      </c>
      <c r="Q76" s="11" t="str">
        <f t="shared" si="23"/>
        <v>Frame: 54 ----- Stem: 90x0  ----- Carbon Aerobar + 30  with reach: -10 mm</v>
      </c>
      <c r="R76" s="11" t="str">
        <f t="shared" si="23"/>
        <v>Frame: 47 ----- Stem: 70x30  ----- Aluminium Aerobar + 40 + bridge + 5  with reach: 45 mm</v>
      </c>
    </row>
    <row r="77" spans="1:18" x14ac:dyDescent="0.25">
      <c r="A77" s="11">
        <f>'DA - 58'!C81</f>
        <v>510</v>
      </c>
      <c r="B77" s="11">
        <f>'DA - 58'!D81</f>
        <v>480</v>
      </c>
      <c r="C77" s="11">
        <f>'DA - 58'!E81</f>
        <v>560</v>
      </c>
      <c r="D77" s="11">
        <f>'DA - 58'!G81</f>
        <v>635</v>
      </c>
      <c r="E77" s="11" t="str">
        <f>'DA - 58'!B81</f>
        <v>Frame: 58 ----- Stem: 90x0  ----- Carbon Aerobar + 30 + bridge</v>
      </c>
      <c r="F77" s="11" t="str">
        <f t="shared" si="18"/>
        <v/>
      </c>
      <c r="G77" s="11">
        <f t="shared" si="19"/>
        <v>1</v>
      </c>
      <c r="H77" s="11" t="str">
        <f t="shared" si="20"/>
        <v/>
      </c>
      <c r="I77" s="11">
        <f t="shared" si="21"/>
        <v>-40</v>
      </c>
      <c r="J77" s="11">
        <v>1</v>
      </c>
      <c r="K77" s="11">
        <f t="shared" si="22"/>
        <v>1</v>
      </c>
      <c r="L77" s="11" t="str">
        <f>'DA - 58'!H81</f>
        <v xml:space="preserve">Aerobar Bolts: Top 30mm; Bottom 30mm </v>
      </c>
      <c r="M77" s="11" t="s">
        <v>11</v>
      </c>
      <c r="P77" s="7" t="str">
        <f t="shared" si="23"/>
        <v>Frame: 54 ----- Stem: 90x0  ----- Carbon Aerobar + 20 + bridge + 5  with reach: -10 mm</v>
      </c>
      <c r="Q77" s="11" t="str">
        <f t="shared" si="23"/>
        <v>Frame: 54 ----- Stem: 110x0  ----- Carbon Aerobar + 30  with reach: -30 mm</v>
      </c>
      <c r="R77" s="11" t="str">
        <f t="shared" si="23"/>
        <v>Frame: 47 ----- Stem: 100x30  ----- Aluminium Aerobar + 40 + bridge + 5  with reach: 15 mm</v>
      </c>
    </row>
    <row r="78" spans="1:18" x14ac:dyDescent="0.25">
      <c r="A78" s="11">
        <f>'DA - 58'!C82</f>
        <v>510</v>
      </c>
      <c r="B78" s="11">
        <f>'DA - 58'!D82</f>
        <v>480</v>
      </c>
      <c r="C78" s="11">
        <f>'DA - 58'!E82</f>
        <v>560</v>
      </c>
      <c r="D78" s="11">
        <f>'DA - 58'!G82</f>
        <v>640</v>
      </c>
      <c r="E78" s="11" t="str">
        <f>'DA - 58'!B82</f>
        <v>Frame: 58 ----- Stem: 90x0  ----- Carbon Aerobar + 30 + bridge + 5</v>
      </c>
      <c r="F78" s="11" t="str">
        <f t="shared" si="18"/>
        <v/>
      </c>
      <c r="G78" s="11">
        <f t="shared" si="19"/>
        <v>1</v>
      </c>
      <c r="H78" s="11" t="str">
        <f t="shared" si="20"/>
        <v/>
      </c>
      <c r="I78" s="11">
        <f t="shared" si="21"/>
        <v>-40</v>
      </c>
      <c r="J78" s="11">
        <v>1</v>
      </c>
      <c r="K78" s="11">
        <f t="shared" si="22"/>
        <v>1</v>
      </c>
      <c r="L78" s="11" t="str">
        <f>'DA - 58'!H82</f>
        <v xml:space="preserve">Aerobar Bolts: Top 35mm; Bottom 30mm </v>
      </c>
      <c r="M78" s="11" t="s">
        <v>11</v>
      </c>
      <c r="P78" s="7" t="str">
        <f t="shared" si="23"/>
        <v>Frame: 54 ----- Stem: 110x0  ----- Carbon Aerobar + 20 + bridge + 5  with reach: -30 mm</v>
      </c>
      <c r="Q78" s="11" t="str">
        <f t="shared" si="23"/>
        <v>Frame: 51 ----- Stem: 90x0  ----- Carbon Aerobar + 30 + bridge + 5  with reach: 10 mm</v>
      </c>
      <c r="R78" s="11" t="str">
        <f t="shared" si="23"/>
        <v/>
      </c>
    </row>
    <row r="79" spans="1:18" x14ac:dyDescent="0.25">
      <c r="A79" s="11">
        <f>'DA - 58'!C83</f>
        <v>510</v>
      </c>
      <c r="B79" s="11">
        <f>'DA - 58'!D83</f>
        <v>480</v>
      </c>
      <c r="C79" s="11">
        <f>'DA - 58'!E83</f>
        <v>560</v>
      </c>
      <c r="D79" s="11">
        <f>'DA - 58'!G83</f>
        <v>645</v>
      </c>
      <c r="E79" s="11" t="str">
        <f>'DA - 58'!B83</f>
        <v>Frame: 58 ----- Stem: 90x0  ----- Carbon Aerobar + 40 + bridge</v>
      </c>
      <c r="F79" s="11" t="str">
        <f t="shared" si="18"/>
        <v/>
      </c>
      <c r="G79" s="11" t="str">
        <f t="shared" si="19"/>
        <v/>
      </c>
      <c r="H79" s="11">
        <f t="shared" si="20"/>
        <v>1</v>
      </c>
      <c r="I79" s="11">
        <f t="shared" si="21"/>
        <v>-40</v>
      </c>
      <c r="J79" s="11">
        <v>1</v>
      </c>
      <c r="K79" s="11">
        <f t="shared" si="22"/>
        <v>1</v>
      </c>
      <c r="L79" s="11" t="str">
        <f>'DA - 58'!H83</f>
        <v xml:space="preserve">Aerobar Bolts: Top 35mm; Bottom 30mm </v>
      </c>
      <c r="M79" s="11" t="s">
        <v>11</v>
      </c>
      <c r="P79" s="7" t="str">
        <f t="shared" si="23"/>
        <v>Frame: 54 ----- Stem: 90x0  ----- Aluminium Aerobar + 5 + 10  with reach: -10 mm</v>
      </c>
      <c r="Q79" s="11" t="str">
        <f t="shared" si="23"/>
        <v>Frame: 51 ----- Stem: 110x0  ----- Carbon Aerobar + 30 + bridge + 5  with reach: -10 mm</v>
      </c>
      <c r="R79" s="11" t="str">
        <f t="shared" si="23"/>
        <v/>
      </c>
    </row>
    <row r="80" spans="1:18" x14ac:dyDescent="0.25">
      <c r="A80" s="11">
        <f>'DA - 58'!C84</f>
        <v>510</v>
      </c>
      <c r="B80" s="11">
        <f>'DA - 58'!D84</f>
        <v>480</v>
      </c>
      <c r="C80" s="11">
        <f>'DA - 58'!E84</f>
        <v>560</v>
      </c>
      <c r="D80" s="11">
        <f>'DA - 58'!G84</f>
        <v>650</v>
      </c>
      <c r="E80" s="11" t="str">
        <f>'DA - 58'!B84</f>
        <v>Frame: 58 ----- Stem: 90x0  ----- Carbon Aerobar + 40 + bridge + 5</v>
      </c>
      <c r="F80" s="11" t="str">
        <f t="shared" si="18"/>
        <v/>
      </c>
      <c r="G80" s="11" t="str">
        <f t="shared" si="19"/>
        <v/>
      </c>
      <c r="H80" s="11">
        <f t="shared" si="20"/>
        <v>1</v>
      </c>
      <c r="I80" s="11">
        <f t="shared" si="21"/>
        <v>-40</v>
      </c>
      <c r="J80" s="11">
        <v>1</v>
      </c>
      <c r="K80" s="11">
        <f t="shared" si="22"/>
        <v>1</v>
      </c>
      <c r="L80" s="11" t="str">
        <f>'DA - 58'!H84</f>
        <v xml:space="preserve">Aerobar Bolts: Top 35mm; Bottom 30mm </v>
      </c>
      <c r="M80" s="11" t="s">
        <v>11</v>
      </c>
      <c r="P80" s="7" t="str">
        <f t="shared" si="23"/>
        <v>Frame: 54 ----- Stem: 110x0  ----- Aluminium Aerobar + 5 + 10  with reach: -30 mm</v>
      </c>
      <c r="Q80" s="11" t="str">
        <f t="shared" si="23"/>
        <v>Frame: 47 ----- Stem: 100x60  ----- Carbon Aerobar + 30 + bridge  with reach: 25 mm</v>
      </c>
      <c r="R80" s="11" t="str">
        <f t="shared" si="23"/>
        <v/>
      </c>
    </row>
    <row r="81" spans="1:18" x14ac:dyDescent="0.25">
      <c r="A81" s="11">
        <f>'DA - 58'!C85</f>
        <v>510</v>
      </c>
      <c r="B81" s="11">
        <f>'DA - 58'!D85</f>
        <v>480</v>
      </c>
      <c r="C81" s="11">
        <f>'DA - 58'!E85</f>
        <v>560</v>
      </c>
      <c r="D81" s="11">
        <f>'DA - 58'!G85</f>
        <v>655</v>
      </c>
      <c r="E81" s="11" t="str">
        <f>'DA - 58'!B85</f>
        <v>Frame: 58 ----- Stem: 90x0  ----- Carbon Aerobar + 40 + bridge + 10</v>
      </c>
      <c r="F81" s="11" t="str">
        <f t="shared" si="18"/>
        <v/>
      </c>
      <c r="G81" s="11" t="str">
        <f t="shared" si="19"/>
        <v/>
      </c>
      <c r="H81" s="11">
        <f t="shared" si="20"/>
        <v>1</v>
      </c>
      <c r="I81" s="11">
        <f t="shared" si="21"/>
        <v>-40</v>
      </c>
      <c r="J81" s="11">
        <v>1</v>
      </c>
      <c r="K81" s="11">
        <f t="shared" si="22"/>
        <v>1</v>
      </c>
      <c r="L81" s="11" t="str">
        <f>'DA - 58'!H85</f>
        <v xml:space="preserve">Aerobar Bolts: Top 40mm; Bottom 30mm </v>
      </c>
      <c r="M81" s="11" t="s">
        <v>11</v>
      </c>
      <c r="P81" s="7" t="str">
        <f t="shared" ref="P81:P92" si="24">IF(P57="","",TEXT(P57,0)&amp;"  with reach: "&amp;IFERROR(VLOOKUP(P57,$E$8:$I$907,5,FALSE)&amp;" mm",""))</f>
        <v>Frame: 51 ----- Stem: 70x30  ----- Carbon Aerobar + 10  with reach: 35 mm</v>
      </c>
      <c r="Q81" s="11" t="str">
        <f t="shared" ref="Q81:R96" si="25">IF(Q57="","",TEXT(Q57,0)&amp;"  with reach: "&amp;IFERROR(VLOOKUP(Q57,$E$8:$I$907,5,FALSE)&amp;" mm",""))</f>
        <v/>
      </c>
      <c r="R81" s="11" t="str">
        <f>IF(R57="","",TEXT(R57,0)&amp;"  with reach: "&amp;IFERROR(VLOOKUP(R57,$E$8:$I$907,5,FALSE)&amp;" mm",""))</f>
        <v/>
      </c>
    </row>
    <row r="82" spans="1:18" x14ac:dyDescent="0.25">
      <c r="A82" s="11">
        <f>'DA - 58'!C86</f>
        <v>510</v>
      </c>
      <c r="B82" s="11">
        <f>'DA - 58'!D86</f>
        <v>480</v>
      </c>
      <c r="C82" s="11">
        <f>'DA - 58'!E86</f>
        <v>560</v>
      </c>
      <c r="D82" s="11">
        <f>'DA - 58'!G86</f>
        <v>660</v>
      </c>
      <c r="E82" s="11" t="str">
        <f>'DA - 58'!B86</f>
        <v>Frame: 58 ----- Stem: 90x0  ----- Carbon Aerobar + 40 + bridge + 10 + 5</v>
      </c>
      <c r="F82" s="11" t="str">
        <f t="shared" si="18"/>
        <v/>
      </c>
      <c r="G82" s="11" t="str">
        <f t="shared" si="19"/>
        <v/>
      </c>
      <c r="H82" s="11">
        <f t="shared" si="20"/>
        <v>1</v>
      </c>
      <c r="I82" s="11">
        <f t="shared" si="21"/>
        <v>-40</v>
      </c>
      <c r="J82" s="11">
        <v>1</v>
      </c>
      <c r="K82" s="11">
        <f t="shared" si="22"/>
        <v>1</v>
      </c>
      <c r="L82" s="11" t="str">
        <f>'DA - 58'!H86</f>
        <v xml:space="preserve">Aerobar Bolts: Top 45mm; Bottom 30mm </v>
      </c>
      <c r="M82" s="11" t="s">
        <v>11</v>
      </c>
      <c r="P82" s="7" t="str">
        <f t="shared" si="24"/>
        <v>Frame: 51 ----- Stem: 100x30  ----- Carbon Aerobar + 10  with reach: 5 mm</v>
      </c>
      <c r="Q82" s="11" t="str">
        <f t="shared" si="25"/>
        <v/>
      </c>
      <c r="R82" s="11" t="str">
        <f t="shared" si="25"/>
        <v/>
      </c>
    </row>
    <row r="83" spans="1:18" x14ac:dyDescent="0.25">
      <c r="A83" s="11">
        <f>'DA - 58'!C87</f>
        <v>530</v>
      </c>
      <c r="B83" s="11">
        <f>'DA - 58'!D87</f>
        <v>500</v>
      </c>
      <c r="C83" s="11">
        <f>'DA - 58'!E87</f>
        <v>580</v>
      </c>
      <c r="D83" s="11">
        <f>'DA - 58'!G87</f>
        <v>0</v>
      </c>
      <c r="E83" s="11" t="str">
        <f>'DA - 58'!B87</f>
        <v>Frame: 58 ----- Stem: 110x0  ----- Carbon Aerobar</v>
      </c>
      <c r="F83" s="11" t="str">
        <f t="shared" si="18"/>
        <v/>
      </c>
      <c r="G83" s="11" t="str">
        <f t="shared" si="19"/>
        <v/>
      </c>
      <c r="H83" s="11" t="str">
        <f t="shared" si="20"/>
        <v/>
      </c>
      <c r="I83" s="11">
        <f t="shared" si="21"/>
        <v>-60</v>
      </c>
      <c r="J83" s="11">
        <v>1</v>
      </c>
      <c r="K83" s="11">
        <f t="shared" si="22"/>
        <v>1</v>
      </c>
      <c r="L83" s="11" t="str">
        <f>'DA - 58'!H87</f>
        <v xml:space="preserve">Aerobar Bolts: Top N/A; Bottom N/A </v>
      </c>
      <c r="M83" s="11" t="s">
        <v>11</v>
      </c>
      <c r="P83" s="7" t="str">
        <f t="shared" si="24"/>
        <v>Frame: 51 ----- Stem: 90x0  ----- Aluminium Aerobar + 20 + 5  with reach: 10 mm</v>
      </c>
      <c r="Q83" s="11" t="str">
        <f t="shared" si="25"/>
        <v/>
      </c>
      <c r="R83" s="11" t="str">
        <f t="shared" si="25"/>
        <v/>
      </c>
    </row>
    <row r="84" spans="1:18" x14ac:dyDescent="0.25">
      <c r="A84" s="11">
        <f>'DA - 58'!C88</f>
        <v>530</v>
      </c>
      <c r="B84" s="11">
        <f>'DA - 58'!D88</f>
        <v>500</v>
      </c>
      <c r="C84" s="11">
        <f>'DA - 58'!E88</f>
        <v>580</v>
      </c>
      <c r="D84" s="11">
        <f>'DA - 58'!G88</f>
        <v>605</v>
      </c>
      <c r="E84" s="11" t="str">
        <f>'DA - 58'!B88</f>
        <v>Frame: 58 ----- Stem: 110x0  ----- Carbon Aerobar + 5</v>
      </c>
      <c r="F84" s="11" t="str">
        <f t="shared" si="18"/>
        <v/>
      </c>
      <c r="G84" s="11" t="str">
        <f t="shared" si="19"/>
        <v/>
      </c>
      <c r="H84" s="11" t="str">
        <f t="shared" si="20"/>
        <v/>
      </c>
      <c r="I84" s="11">
        <f t="shared" si="21"/>
        <v>-60</v>
      </c>
      <c r="J84" s="11">
        <v>1</v>
      </c>
      <c r="K84" s="11">
        <f t="shared" si="22"/>
        <v>1</v>
      </c>
      <c r="L84" s="11" t="str">
        <f>'DA - 58'!H88</f>
        <v xml:space="preserve">Aerobar Bolts: Top 45mm; Bottom N/A </v>
      </c>
      <c r="M84" s="11" t="s">
        <v>11</v>
      </c>
      <c r="P84" s="7" t="str">
        <f t="shared" si="24"/>
        <v>Frame: 51 ----- Stem: 90x0  ----- Aluminium Aerobar + 20 + bridge  with reach: 10 mm</v>
      </c>
      <c r="Q84" s="11" t="str">
        <f t="shared" si="25"/>
        <v/>
      </c>
      <c r="R84" s="11" t="str">
        <f t="shared" si="25"/>
        <v/>
      </c>
    </row>
    <row r="85" spans="1:18" x14ac:dyDescent="0.25">
      <c r="A85" s="11">
        <f>'DA - 58'!C89</f>
        <v>530</v>
      </c>
      <c r="B85" s="11">
        <f>'DA - 58'!D89</f>
        <v>500</v>
      </c>
      <c r="C85" s="11">
        <f>'DA - 58'!E89</f>
        <v>580</v>
      </c>
      <c r="D85" s="11">
        <f>'DA - 58'!G89</f>
        <v>610</v>
      </c>
      <c r="E85" s="11" t="str">
        <f>'DA - 58'!B89</f>
        <v>Frame: 58 ----- Stem: 110x0  ----- Carbon Aerobar + 10</v>
      </c>
      <c r="F85" s="11" t="str">
        <f t="shared" si="18"/>
        <v/>
      </c>
      <c r="G85" s="11" t="str">
        <f t="shared" si="19"/>
        <v/>
      </c>
      <c r="H85" s="11" t="str">
        <f t="shared" si="20"/>
        <v/>
      </c>
      <c r="I85" s="11">
        <f t="shared" si="21"/>
        <v>-60</v>
      </c>
      <c r="J85" s="11">
        <v>1</v>
      </c>
      <c r="K85" s="11">
        <f t="shared" si="22"/>
        <v>1</v>
      </c>
      <c r="L85" s="11" t="str">
        <f>'DA - 58'!H89</f>
        <v xml:space="preserve">Aerobar Bolts: Top 50mm; Bottom N/A </v>
      </c>
      <c r="M85" s="11" t="s">
        <v>11</v>
      </c>
      <c r="P85" s="7" t="str">
        <f t="shared" si="24"/>
        <v>Frame: 51 ----- Stem: 110x0  ----- Aluminium Aerobar + 20 + 5  with reach: -10 mm</v>
      </c>
      <c r="Q85" s="11" t="str">
        <f t="shared" si="25"/>
        <v/>
      </c>
      <c r="R85" s="11" t="str">
        <f t="shared" si="25"/>
        <v/>
      </c>
    </row>
    <row r="86" spans="1:18" x14ac:dyDescent="0.25">
      <c r="A86" s="11">
        <f>'DA - 58'!C90</f>
        <v>530</v>
      </c>
      <c r="B86" s="11">
        <f>'DA - 58'!D90</f>
        <v>500</v>
      </c>
      <c r="C86" s="11">
        <f>'DA - 58'!E90</f>
        <v>580</v>
      </c>
      <c r="D86" s="11">
        <f>'DA - 58'!G90</f>
        <v>615</v>
      </c>
      <c r="E86" s="11" t="str">
        <f>'DA - 58'!B90</f>
        <v>Frame: 58 ----- Stem: 110x0  ----- Carbon Aerobar + 5 + 10</v>
      </c>
      <c r="F86" s="11" t="str">
        <f t="shared" si="18"/>
        <v/>
      </c>
      <c r="G86" s="11" t="str">
        <f t="shared" si="19"/>
        <v/>
      </c>
      <c r="H86" s="11" t="str">
        <f t="shared" si="20"/>
        <v/>
      </c>
      <c r="I86" s="11">
        <f t="shared" si="21"/>
        <v>-60</v>
      </c>
      <c r="J86" s="11">
        <v>1</v>
      </c>
      <c r="K86" s="11">
        <f t="shared" si="22"/>
        <v>1</v>
      </c>
      <c r="L86" s="11" t="str">
        <f>'DA - 58'!H90</f>
        <v xml:space="preserve">Aerobar Bolts: Top 55mm; Bottom N/A </v>
      </c>
      <c r="M86" s="11" t="s">
        <v>11</v>
      </c>
      <c r="P86" s="7" t="str">
        <f t="shared" si="24"/>
        <v>Frame: 51 ----- Stem: 110x0  ----- Aluminium Aerobar + 20 + bridge  with reach: -10 mm</v>
      </c>
      <c r="Q86" s="11" t="str">
        <f t="shared" si="25"/>
        <v/>
      </c>
      <c r="R86" s="11" t="str">
        <f t="shared" si="25"/>
        <v/>
      </c>
    </row>
    <row r="87" spans="1:18" x14ac:dyDescent="0.25">
      <c r="A87" s="11">
        <f>'DA - 58'!C91</f>
        <v>530</v>
      </c>
      <c r="B87" s="11">
        <f>'DA - 58'!D91</f>
        <v>500</v>
      </c>
      <c r="C87" s="11">
        <f>'DA - 58'!E91</f>
        <v>580</v>
      </c>
      <c r="D87" s="11">
        <f>'DA - 58'!G91</f>
        <v>620</v>
      </c>
      <c r="E87" s="11" t="str">
        <f>'DA - 58'!B91</f>
        <v>Frame: 58 ----- Stem: 110x0  ----- Carbon Aerobar + 20</v>
      </c>
      <c r="F87" s="11" t="str">
        <f t="shared" si="18"/>
        <v/>
      </c>
      <c r="G87" s="11" t="str">
        <f>IF(ISNUMBER(FIND(" 30",E87)),1,"")</f>
        <v/>
      </c>
      <c r="H87" s="11" t="str">
        <f t="shared" si="20"/>
        <v/>
      </c>
      <c r="I87" s="11">
        <f t="shared" si="21"/>
        <v>-60</v>
      </c>
      <c r="J87" s="11">
        <v>1</v>
      </c>
      <c r="K87" s="11">
        <f t="shared" si="22"/>
        <v>1</v>
      </c>
      <c r="L87" s="11" t="str">
        <f>'DA - 58'!H91</f>
        <v xml:space="preserve">Aerobar Bolts: Top 20mm; Bottom 30mm </v>
      </c>
      <c r="M87" s="11" t="s">
        <v>11</v>
      </c>
      <c r="P87" s="7" t="str">
        <f t="shared" si="24"/>
        <v>Frame: 47 ----- Stem: 100x60  ----- Aluminium Aerobar + 20  with reach: 25 mm</v>
      </c>
      <c r="Q87" s="11" t="str">
        <f t="shared" si="25"/>
        <v/>
      </c>
      <c r="R87" s="11" t="str">
        <f t="shared" si="25"/>
        <v/>
      </c>
    </row>
    <row r="88" spans="1:18" x14ac:dyDescent="0.25">
      <c r="A88" s="11">
        <f>'DA - 58'!C92</f>
        <v>530</v>
      </c>
      <c r="B88" s="11">
        <f>'DA - 58'!D92</f>
        <v>500</v>
      </c>
      <c r="C88" s="11">
        <f>'DA - 58'!E92</f>
        <v>580</v>
      </c>
      <c r="D88" s="11">
        <f>'DA - 58'!G92</f>
        <v>625</v>
      </c>
      <c r="E88" s="11" t="str">
        <f>'DA - 58'!B92</f>
        <v>Frame: 58 ----- Stem: 110x0  ----- Carbon Aerobar + 20 + 5</v>
      </c>
      <c r="F88" s="11" t="str">
        <f t="shared" si="18"/>
        <v/>
      </c>
      <c r="G88" s="11" t="str">
        <f t="shared" si="19"/>
        <v/>
      </c>
      <c r="H88" s="11" t="str">
        <f t="shared" si="20"/>
        <v/>
      </c>
      <c r="I88" s="11">
        <f t="shared" si="21"/>
        <v>-60</v>
      </c>
      <c r="J88" s="11">
        <v>1</v>
      </c>
      <c r="K88" s="11">
        <f t="shared" si="22"/>
        <v>1</v>
      </c>
      <c r="L88" s="11" t="str">
        <f>'DA - 58'!H92</f>
        <v xml:space="preserve">Aerobar Bolts: Top 25mm; Bottom 30mm </v>
      </c>
      <c r="M88" s="11" t="s">
        <v>11</v>
      </c>
      <c r="P88" s="7" t="str">
        <f t="shared" si="24"/>
        <v/>
      </c>
      <c r="Q88" s="11" t="str">
        <f t="shared" si="25"/>
        <v/>
      </c>
      <c r="R88" s="11" t="str">
        <f t="shared" si="25"/>
        <v/>
      </c>
    </row>
    <row r="89" spans="1:18" x14ac:dyDescent="0.25">
      <c r="A89" s="11">
        <f>'DA - 58'!C93</f>
        <v>530</v>
      </c>
      <c r="B89" s="11">
        <f>'DA - 58'!D93</f>
        <v>500</v>
      </c>
      <c r="C89" s="11">
        <f>'DA - 58'!E93</f>
        <v>580</v>
      </c>
      <c r="D89" s="11">
        <f>'DA - 58'!G93</f>
        <v>625</v>
      </c>
      <c r="E89" s="11" t="str">
        <f>'DA - 58'!B93</f>
        <v>Frame: 58 ----- Stem: 110x0  ----- Carbon Aerobar + 20 + bridge</v>
      </c>
      <c r="F89" s="11" t="str">
        <f t="shared" si="18"/>
        <v/>
      </c>
      <c r="G89" s="11" t="str">
        <f t="shared" si="19"/>
        <v/>
      </c>
      <c r="H89" s="11" t="str">
        <f t="shared" si="20"/>
        <v/>
      </c>
      <c r="I89" s="11">
        <f t="shared" si="21"/>
        <v>-60</v>
      </c>
      <c r="J89" s="11">
        <v>1</v>
      </c>
      <c r="K89" s="11">
        <f t="shared" si="22"/>
        <v>1</v>
      </c>
      <c r="L89" s="11" t="str">
        <f>'DA - 58'!H93</f>
        <v xml:space="preserve">Aerobar Bolts: Top 25mm; Bottom 30mm </v>
      </c>
      <c r="M89" s="11" t="s">
        <v>11</v>
      </c>
      <c r="P89" s="7" t="str">
        <f t="shared" si="24"/>
        <v/>
      </c>
      <c r="Q89" s="11" t="str">
        <f t="shared" si="25"/>
        <v/>
      </c>
      <c r="R89" s="11" t="str">
        <f t="shared" si="25"/>
        <v/>
      </c>
    </row>
    <row r="90" spans="1:18" x14ac:dyDescent="0.25">
      <c r="A90" s="11">
        <f>'DA - 58'!C94</f>
        <v>530</v>
      </c>
      <c r="B90" s="11">
        <f>'DA - 58'!D94</f>
        <v>500</v>
      </c>
      <c r="C90" s="11">
        <f>'DA - 58'!E94</f>
        <v>580</v>
      </c>
      <c r="D90" s="11">
        <f>'DA - 58'!G94</f>
        <v>630</v>
      </c>
      <c r="E90" s="11" t="str">
        <f>'DA - 58'!B94</f>
        <v>Frame: 58 ----- Stem: 110x0  ----- Carbon Aerobar + 30</v>
      </c>
      <c r="F90" s="11" t="str">
        <f>IF(AND($F$5&gt;=B90,$F$5&lt;=C90),1,"")</f>
        <v/>
      </c>
      <c r="G90" s="11">
        <f t="shared" si="19"/>
        <v>1</v>
      </c>
      <c r="H90" s="11" t="str">
        <f t="shared" si="20"/>
        <v/>
      </c>
      <c r="I90" s="11">
        <f t="shared" si="21"/>
        <v>-60</v>
      </c>
      <c r="J90" s="11">
        <v>1</v>
      </c>
      <c r="K90" s="11">
        <f t="shared" si="22"/>
        <v>1</v>
      </c>
      <c r="L90" s="11" t="str">
        <f>'DA - 58'!H94</f>
        <v xml:space="preserve">Aerobar Bolts: Top 25mm; Bottom 30mm </v>
      </c>
      <c r="M90" s="11" t="s">
        <v>11</v>
      </c>
      <c r="P90" s="7" t="str">
        <f t="shared" si="24"/>
        <v/>
      </c>
      <c r="Q90" s="11" t="str">
        <f t="shared" si="25"/>
        <v/>
      </c>
      <c r="R90" s="11" t="str">
        <f t="shared" si="25"/>
        <v/>
      </c>
    </row>
    <row r="91" spans="1:18" x14ac:dyDescent="0.25">
      <c r="A91" s="11">
        <f>'DA - 58'!C95</f>
        <v>530</v>
      </c>
      <c r="B91" s="11">
        <f>'DA - 58'!D95</f>
        <v>500</v>
      </c>
      <c r="C91" s="11">
        <f>'DA - 58'!E95</f>
        <v>580</v>
      </c>
      <c r="D91" s="11">
        <f>'DA - 58'!G95</f>
        <v>630</v>
      </c>
      <c r="E91" s="11" t="str">
        <f>'DA - 58'!B95</f>
        <v>Frame: 58 ----- Stem: 110x0  ----- Carbon Aerobar + 20 + bridge + 5</v>
      </c>
      <c r="F91" s="11" t="str">
        <f t="shared" si="18"/>
        <v/>
      </c>
      <c r="G91" s="11" t="str">
        <f t="shared" si="19"/>
        <v/>
      </c>
      <c r="H91" s="11" t="str">
        <f t="shared" si="20"/>
        <v/>
      </c>
      <c r="I91" s="11">
        <f t="shared" si="21"/>
        <v>-60</v>
      </c>
      <c r="J91" s="11">
        <v>1</v>
      </c>
      <c r="K91" s="11">
        <f t="shared" si="22"/>
        <v>1</v>
      </c>
      <c r="L91" s="11" t="str">
        <f>'DA - 58'!H95</f>
        <v xml:space="preserve">Aerobar Bolts: Top 30mm; Bottom 30mm </v>
      </c>
      <c r="M91" s="11" t="s">
        <v>11</v>
      </c>
      <c r="P91" s="7" t="str">
        <f t="shared" si="24"/>
        <v/>
      </c>
      <c r="Q91" s="11" t="str">
        <f t="shared" si="25"/>
        <v/>
      </c>
      <c r="R91" s="11" t="str">
        <f t="shared" si="25"/>
        <v/>
      </c>
    </row>
    <row r="92" spans="1:18" x14ac:dyDescent="0.25">
      <c r="A92" s="11">
        <f>'DA - 58'!C96</f>
        <v>530</v>
      </c>
      <c r="B92" s="11">
        <f>'DA - 58'!D96</f>
        <v>500</v>
      </c>
      <c r="C92" s="11">
        <f>'DA - 58'!E96</f>
        <v>580</v>
      </c>
      <c r="D92" s="11">
        <f>'DA - 58'!G96</f>
        <v>635</v>
      </c>
      <c r="E92" s="11" t="str">
        <f>'DA - 58'!B96</f>
        <v>Frame: 58 ----- Stem: 110x0  ----- Carbon Aerobar + 30 + bridge</v>
      </c>
      <c r="F92" s="11" t="str">
        <f t="shared" si="18"/>
        <v/>
      </c>
      <c r="G92" s="11">
        <f t="shared" si="19"/>
        <v>1</v>
      </c>
      <c r="H92" s="11" t="str">
        <f t="shared" si="20"/>
        <v/>
      </c>
      <c r="I92" s="11">
        <f t="shared" si="21"/>
        <v>-60</v>
      </c>
      <c r="J92" s="11">
        <v>1</v>
      </c>
      <c r="K92" s="11">
        <f t="shared" si="22"/>
        <v>1</v>
      </c>
      <c r="L92" s="11" t="str">
        <f>'DA - 58'!H96</f>
        <v xml:space="preserve">Aerobar Bolts: Top 30mm; Bottom 30mm </v>
      </c>
      <c r="M92" s="11" t="s">
        <v>11</v>
      </c>
      <c r="P92" s="7" t="str">
        <f t="shared" si="24"/>
        <v/>
      </c>
      <c r="Q92" s="11" t="str">
        <f t="shared" si="25"/>
        <v/>
      </c>
      <c r="R92" s="11" t="str">
        <f t="shared" si="25"/>
        <v/>
      </c>
    </row>
    <row r="93" spans="1:18" x14ac:dyDescent="0.25">
      <c r="A93" s="11">
        <f>'DA - 58'!C97</f>
        <v>530</v>
      </c>
      <c r="B93" s="11">
        <f>'DA - 58'!D97</f>
        <v>500</v>
      </c>
      <c r="C93" s="11">
        <f>'DA - 58'!E97</f>
        <v>580</v>
      </c>
      <c r="D93" s="11">
        <f>'DA - 58'!G97</f>
        <v>640</v>
      </c>
      <c r="E93" s="11" t="str">
        <f>'DA - 58'!B97</f>
        <v>Frame: 58 ----- Stem: 110x0  ----- Carbon Aerobar + 30 + bridge + 5</v>
      </c>
      <c r="F93" s="11" t="str">
        <f t="shared" si="18"/>
        <v/>
      </c>
      <c r="G93" s="11">
        <f t="shared" si="19"/>
        <v>1</v>
      </c>
      <c r="H93" s="11" t="str">
        <f t="shared" si="20"/>
        <v/>
      </c>
      <c r="I93" s="11">
        <f t="shared" si="21"/>
        <v>-60</v>
      </c>
      <c r="J93" s="11">
        <v>1</v>
      </c>
      <c r="K93" s="11">
        <f t="shared" si="22"/>
        <v>1</v>
      </c>
      <c r="L93" s="11" t="str">
        <f>'DA - 58'!H97</f>
        <v xml:space="preserve">Aerobar Bolts: Top 35mm; Bottom 30mm </v>
      </c>
      <c r="M93" s="11" t="s">
        <v>11</v>
      </c>
      <c r="P93" s="7" t="str">
        <f t="shared" ref="P93:P97" si="26">IF(P69="","",TEXT(P69,0)&amp;"  with reach: "&amp;IFERROR(VLOOKUP(P69,$E$8:$I$907,5,FALSE)&amp;" mm",""))</f>
        <v/>
      </c>
      <c r="Q93" s="11" t="str">
        <f t="shared" si="25"/>
        <v/>
      </c>
      <c r="R93" s="11" t="str">
        <f t="shared" si="25"/>
        <v/>
      </c>
    </row>
    <row r="94" spans="1:18" x14ac:dyDescent="0.25">
      <c r="A94" s="11">
        <f>'DA - 58'!C98</f>
        <v>530</v>
      </c>
      <c r="B94" s="11">
        <f>'DA - 58'!D98</f>
        <v>500</v>
      </c>
      <c r="C94" s="11">
        <f>'DA - 58'!E98</f>
        <v>580</v>
      </c>
      <c r="D94" s="11">
        <f>'DA - 58'!G98</f>
        <v>645</v>
      </c>
      <c r="E94" s="11" t="str">
        <f>'DA - 58'!B98</f>
        <v>Frame: 58 ----- Stem: 110x0  ----- Carbon Aerobar + 40 + bridge</v>
      </c>
      <c r="F94" s="11" t="str">
        <f t="shared" si="18"/>
        <v/>
      </c>
      <c r="G94" s="11" t="str">
        <f t="shared" si="19"/>
        <v/>
      </c>
      <c r="H94" s="11">
        <f t="shared" si="20"/>
        <v>1</v>
      </c>
      <c r="I94" s="11">
        <f t="shared" si="21"/>
        <v>-60</v>
      </c>
      <c r="J94" s="11">
        <v>1</v>
      </c>
      <c r="K94" s="11">
        <f t="shared" si="22"/>
        <v>1</v>
      </c>
      <c r="L94" s="11" t="str">
        <f>'DA - 58'!H98</f>
        <v xml:space="preserve">Aerobar Bolts: Top 35mm; Bottom 30mm </v>
      </c>
      <c r="M94" s="11" t="s">
        <v>11</v>
      </c>
      <c r="P94" s="7" t="str">
        <f t="shared" si="26"/>
        <v/>
      </c>
      <c r="Q94" s="11" t="str">
        <f t="shared" si="25"/>
        <v/>
      </c>
      <c r="R94" s="11" t="str">
        <f t="shared" si="25"/>
        <v/>
      </c>
    </row>
    <row r="95" spans="1:18" x14ac:dyDescent="0.25">
      <c r="A95" s="11">
        <f>'DA - 58'!C99</f>
        <v>530</v>
      </c>
      <c r="B95" s="11">
        <f>'DA - 58'!D99</f>
        <v>500</v>
      </c>
      <c r="C95" s="11">
        <f>'DA - 58'!E99</f>
        <v>580</v>
      </c>
      <c r="D95" s="11">
        <f>'DA - 58'!G99</f>
        <v>650</v>
      </c>
      <c r="E95" s="11" t="str">
        <f>'DA - 58'!B99</f>
        <v>Frame: 58 ----- Stem: 110x0  ----- Carbon Aerobar + 40 + bridge + 5</v>
      </c>
      <c r="F95" s="11" t="str">
        <f t="shared" si="18"/>
        <v/>
      </c>
      <c r="G95" s="11" t="str">
        <f t="shared" si="19"/>
        <v/>
      </c>
      <c r="H95" s="11">
        <f t="shared" si="20"/>
        <v>1</v>
      </c>
      <c r="I95" s="11">
        <f t="shared" si="21"/>
        <v>-60</v>
      </c>
      <c r="J95" s="11">
        <v>1</v>
      </c>
      <c r="K95" s="11">
        <f t="shared" si="22"/>
        <v>1</v>
      </c>
      <c r="L95" s="11" t="str">
        <f>'DA - 58'!H99</f>
        <v xml:space="preserve">Aerobar Bolts: Top 35mm; Bottom 30mm </v>
      </c>
      <c r="M95" s="11" t="s">
        <v>11</v>
      </c>
      <c r="P95" s="7" t="str">
        <f t="shared" si="26"/>
        <v/>
      </c>
      <c r="Q95" s="11" t="str">
        <f t="shared" si="25"/>
        <v/>
      </c>
      <c r="R95" s="11" t="str">
        <f t="shared" si="25"/>
        <v/>
      </c>
    </row>
    <row r="96" spans="1:18" x14ac:dyDescent="0.25">
      <c r="A96" s="11">
        <f>'DA - 58'!C100</f>
        <v>530</v>
      </c>
      <c r="B96" s="11">
        <f>'DA - 58'!D100</f>
        <v>500</v>
      </c>
      <c r="C96" s="11">
        <f>'DA - 58'!E100</f>
        <v>580</v>
      </c>
      <c r="D96" s="11">
        <f>'DA - 58'!G100</f>
        <v>655</v>
      </c>
      <c r="E96" s="11" t="str">
        <f>'DA - 58'!B100</f>
        <v>Frame: 58 ----- Stem: 110x0  ----- Carbon Aerobar + 40 + bridge + 10</v>
      </c>
      <c r="F96" s="11" t="str">
        <f t="shared" si="18"/>
        <v/>
      </c>
      <c r="G96" s="11" t="str">
        <f t="shared" si="19"/>
        <v/>
      </c>
      <c r="H96" s="11">
        <f t="shared" si="20"/>
        <v>1</v>
      </c>
      <c r="I96" s="11">
        <f t="shared" si="21"/>
        <v>-60</v>
      </c>
      <c r="J96" s="11">
        <v>1</v>
      </c>
      <c r="K96" s="11">
        <f t="shared" si="22"/>
        <v>1</v>
      </c>
      <c r="L96" s="11" t="str">
        <f>'DA - 58'!H100</f>
        <v xml:space="preserve">Aerobar Bolts: Top 40mm; Bottom 30mm </v>
      </c>
      <c r="M96" s="11" t="s">
        <v>11</v>
      </c>
      <c r="P96" s="7" t="str">
        <f t="shared" si="26"/>
        <v/>
      </c>
      <c r="Q96" s="11" t="str">
        <f t="shared" si="25"/>
        <v/>
      </c>
      <c r="R96" s="11" t="str">
        <f t="shared" si="25"/>
        <v/>
      </c>
    </row>
    <row r="97" spans="1:18" x14ac:dyDescent="0.25">
      <c r="A97" s="11">
        <f>'DA - 58'!C101</f>
        <v>530</v>
      </c>
      <c r="B97" s="11">
        <f>'DA - 58'!D101</f>
        <v>500</v>
      </c>
      <c r="C97" s="11">
        <f>'DA - 58'!E101</f>
        <v>580</v>
      </c>
      <c r="D97" s="11">
        <f>'DA - 58'!G101</f>
        <v>660</v>
      </c>
      <c r="E97" s="11" t="str">
        <f>'DA - 58'!B101</f>
        <v>Frame: 58 ----- Stem: 110x0  ----- Carbon Aerobar + 40 + bridge + 10 + 5</v>
      </c>
      <c r="F97" s="11" t="str">
        <f t="shared" si="18"/>
        <v/>
      </c>
      <c r="G97" s="11" t="str">
        <f t="shared" si="19"/>
        <v/>
      </c>
      <c r="H97" s="11">
        <f t="shared" si="20"/>
        <v>1</v>
      </c>
      <c r="I97" s="11">
        <f t="shared" si="21"/>
        <v>-60</v>
      </c>
      <c r="J97" s="11">
        <v>1</v>
      </c>
      <c r="K97" s="11">
        <f t="shared" si="22"/>
        <v>1</v>
      </c>
      <c r="L97" s="11" t="str">
        <f>'DA - 58'!H101</f>
        <v xml:space="preserve">Aerobar Bolts: Top 45mm; Bottom 30mm </v>
      </c>
      <c r="M97" s="11" t="s">
        <v>11</v>
      </c>
      <c r="P97" s="7" t="str">
        <f t="shared" si="26"/>
        <v/>
      </c>
    </row>
    <row r="98" spans="1:18" x14ac:dyDescent="0.25">
      <c r="A98" s="11">
        <f>'DA - 58'!C102</f>
        <v>485</v>
      </c>
      <c r="B98" s="11">
        <f>'DA - 58'!D102</f>
        <v>455</v>
      </c>
      <c r="C98" s="11">
        <f>'DA - 58'!E102</f>
        <v>535</v>
      </c>
      <c r="D98" s="11">
        <f>'DA - 58'!G102</f>
        <v>645</v>
      </c>
      <c r="E98" s="11" t="str">
        <f>'DA - 58'!B102</f>
        <v>Frame: 58 ----- Stem: 70x30  ----- Aluminium Aerobar</v>
      </c>
      <c r="F98" s="11">
        <f t="shared" si="18"/>
        <v>1</v>
      </c>
      <c r="G98" s="11" t="str">
        <f t="shared" si="19"/>
        <v/>
      </c>
      <c r="H98" s="11" t="str">
        <f t="shared" si="20"/>
        <v/>
      </c>
      <c r="I98" s="11">
        <f t="shared" si="21"/>
        <v>-15</v>
      </c>
      <c r="J98" s="11">
        <v>1</v>
      </c>
      <c r="K98" s="11">
        <f t="shared" si="22"/>
        <v>1</v>
      </c>
      <c r="L98" s="11" t="str">
        <f>'DA - 58'!H102</f>
        <v xml:space="preserve">Aerobar Bolts: Top 20mm; Bottom N/A </v>
      </c>
      <c r="M98" s="11" t="s">
        <v>11</v>
      </c>
      <c r="P98" s="7"/>
    </row>
    <row r="99" spans="1:18" x14ac:dyDescent="0.25">
      <c r="A99" s="11">
        <f>'DA - 58'!C103</f>
        <v>485</v>
      </c>
      <c r="B99" s="11">
        <f>'DA - 58'!D103</f>
        <v>455</v>
      </c>
      <c r="C99" s="11">
        <f>'DA - 58'!E103</f>
        <v>535</v>
      </c>
      <c r="D99" s="11">
        <f>'DA - 58'!G103</f>
        <v>650</v>
      </c>
      <c r="E99" s="11" t="str">
        <f>'DA - 58'!B103</f>
        <v>Frame: 58 ----- Stem: 70x30  ----- Aluminium Aerobar + 5</v>
      </c>
      <c r="F99" s="11">
        <f t="shared" si="18"/>
        <v>1</v>
      </c>
      <c r="G99" s="11" t="str">
        <f t="shared" si="19"/>
        <v/>
      </c>
      <c r="H99" s="11" t="str">
        <f t="shared" si="20"/>
        <v/>
      </c>
      <c r="I99" s="11">
        <f t="shared" si="21"/>
        <v>-15</v>
      </c>
      <c r="J99" s="11">
        <v>1</v>
      </c>
      <c r="K99" s="11">
        <f t="shared" si="22"/>
        <v>1</v>
      </c>
      <c r="L99" s="11" t="str">
        <f>'DA - 58'!H103</f>
        <v xml:space="preserve">Aerobar Bolts: Top 25mm; Bottom N/A </v>
      </c>
      <c r="M99" s="11" t="s">
        <v>11</v>
      </c>
    </row>
    <row r="100" spans="1:18" x14ac:dyDescent="0.25">
      <c r="A100" s="11">
        <f>'DA - 58'!C104</f>
        <v>485</v>
      </c>
      <c r="B100" s="11">
        <f>'DA - 58'!D104</f>
        <v>455</v>
      </c>
      <c r="C100" s="11">
        <f>'DA - 58'!E104</f>
        <v>535</v>
      </c>
      <c r="D100" s="11">
        <f>'DA - 58'!G104</f>
        <v>655</v>
      </c>
      <c r="E100" s="11" t="str">
        <f>'DA - 58'!B104</f>
        <v>Frame: 58 ----- Stem: 70x30  ----- Aluminium Aerobar + 10</v>
      </c>
      <c r="F100" s="11">
        <f t="shared" si="18"/>
        <v>1</v>
      </c>
      <c r="G100" s="11" t="str">
        <f t="shared" si="19"/>
        <v/>
      </c>
      <c r="H100" s="11" t="str">
        <f t="shared" si="20"/>
        <v/>
      </c>
      <c r="I100" s="11">
        <f t="shared" si="21"/>
        <v>-15</v>
      </c>
      <c r="J100" s="11">
        <v>1</v>
      </c>
      <c r="K100" s="11">
        <f t="shared" si="22"/>
        <v>1</v>
      </c>
      <c r="L100" s="11" t="str">
        <f>'DA - 58'!H104</f>
        <v xml:space="preserve">Aerobar Bolts: Top 30mm; Bottom N/A </v>
      </c>
      <c r="M100" s="11" t="s">
        <v>11</v>
      </c>
    </row>
    <row r="101" spans="1:18" x14ac:dyDescent="0.25">
      <c r="A101" s="11">
        <f>'DA - 58'!C105</f>
        <v>485</v>
      </c>
      <c r="B101" s="11">
        <f>'DA - 58'!D105</f>
        <v>455</v>
      </c>
      <c r="C101" s="11">
        <f>'DA - 58'!E105</f>
        <v>535</v>
      </c>
      <c r="D101" s="11">
        <f>'DA - 58'!G105</f>
        <v>660</v>
      </c>
      <c r="E101" s="11" t="str">
        <f>'DA - 58'!B105</f>
        <v>Frame: 58 ----- Stem: 70x30  ----- Aluminium Aerobar + 5 + 10</v>
      </c>
      <c r="F101" s="11">
        <f>IF(AND($F$5&gt;=B101,$F$5&lt;=C101),1,"")</f>
        <v>1</v>
      </c>
      <c r="G101" s="11" t="str">
        <f t="shared" si="19"/>
        <v/>
      </c>
      <c r="H101" s="11" t="str">
        <f t="shared" si="20"/>
        <v/>
      </c>
      <c r="I101" s="11">
        <f t="shared" si="21"/>
        <v>-15</v>
      </c>
      <c r="J101" s="11">
        <v>1</v>
      </c>
      <c r="K101" s="11">
        <f t="shared" si="22"/>
        <v>1</v>
      </c>
      <c r="L101" s="11" t="str">
        <f>'DA - 58'!H105</f>
        <v xml:space="preserve">Aerobar Bolts: Top 35mm; Bottom N/A </v>
      </c>
      <c r="M101" s="11" t="s">
        <v>11</v>
      </c>
    </row>
    <row r="102" spans="1:18" x14ac:dyDescent="0.25">
      <c r="A102" s="11">
        <f>'DA - 58'!C106</f>
        <v>485</v>
      </c>
      <c r="B102" s="11">
        <f>'DA - 58'!D106</f>
        <v>455</v>
      </c>
      <c r="C102" s="11">
        <f>'DA - 58'!E106</f>
        <v>535</v>
      </c>
      <c r="D102" s="11">
        <f>'DA - 58'!G106</f>
        <v>665</v>
      </c>
      <c r="E102" s="11" t="str">
        <f>'DA - 58'!B106</f>
        <v>Frame: 58 ----- Stem: 70x30  ----- Aluminium Aerobar + 20</v>
      </c>
      <c r="F102" s="11">
        <f t="shared" ref="F102:F127" si="27">IF(AND($F$5&gt;=B102,$F$5&lt;=C102),1,"")</f>
        <v>1</v>
      </c>
      <c r="G102" s="11" t="str">
        <f t="shared" si="19"/>
        <v/>
      </c>
      <c r="H102" s="11" t="str">
        <f t="shared" si="20"/>
        <v/>
      </c>
      <c r="I102" s="11">
        <f t="shared" si="21"/>
        <v>-15</v>
      </c>
      <c r="J102" s="11">
        <v>1</v>
      </c>
      <c r="K102" s="11">
        <f t="shared" si="22"/>
        <v>1</v>
      </c>
      <c r="L102" s="11" t="str">
        <f>'DA - 58'!H106</f>
        <v xml:space="preserve">Aerobar Bolts: Top 20mm; Bottom 15mm </v>
      </c>
      <c r="M102" s="11" t="s">
        <v>11</v>
      </c>
      <c r="P102" s="12" t="s">
        <v>52</v>
      </c>
    </row>
    <row r="103" spans="1:18" x14ac:dyDescent="0.25">
      <c r="A103" s="11">
        <f>'DA - 58'!C107</f>
        <v>485</v>
      </c>
      <c r="B103" s="11">
        <f>'DA - 58'!D107</f>
        <v>455</v>
      </c>
      <c r="C103" s="11">
        <f>'DA - 58'!E107</f>
        <v>535</v>
      </c>
      <c r="D103" s="11">
        <f>'DA - 58'!G107</f>
        <v>670</v>
      </c>
      <c r="E103" s="11" t="str">
        <f>'DA - 58'!B107</f>
        <v>Frame: 58 ----- Stem: 70x30  ----- Aluminium Aerobar + 20 + 5</v>
      </c>
      <c r="F103" s="11">
        <f t="shared" si="27"/>
        <v>1</v>
      </c>
      <c r="G103" s="11" t="str">
        <f t="shared" si="19"/>
        <v/>
      </c>
      <c r="H103" s="11" t="str">
        <f t="shared" si="20"/>
        <v/>
      </c>
      <c r="I103" s="11">
        <f t="shared" si="21"/>
        <v>-15</v>
      </c>
      <c r="J103" s="11">
        <v>1</v>
      </c>
      <c r="K103" s="11">
        <f t="shared" si="22"/>
        <v>1</v>
      </c>
      <c r="L103" s="11" t="str">
        <f>'DA - 58'!H107</f>
        <v xml:space="preserve">Aerobar Bolts: Top 25mm; Bottom 15mm </v>
      </c>
      <c r="M103" s="11" t="s">
        <v>11</v>
      </c>
      <c r="P103" s="12" t="s">
        <v>25</v>
      </c>
      <c r="Q103" s="12" t="s">
        <v>26</v>
      </c>
      <c r="R103" s="12" t="s">
        <v>27</v>
      </c>
    </row>
    <row r="104" spans="1:18" x14ac:dyDescent="0.25">
      <c r="A104" s="11">
        <f>'DA - 58'!C108</f>
        <v>485</v>
      </c>
      <c r="B104" s="11">
        <f>'DA - 58'!D108</f>
        <v>455</v>
      </c>
      <c r="C104" s="11">
        <f>'DA - 58'!E108</f>
        <v>535</v>
      </c>
      <c r="D104" s="11">
        <f>'DA - 58'!G108</f>
        <v>670</v>
      </c>
      <c r="E104" s="11" t="str">
        <f>'DA - 58'!B108</f>
        <v>Frame: 58 ----- Stem: 70x30  ----- Aluminium Aerobar + 20 + bridge</v>
      </c>
      <c r="F104" s="11">
        <f t="shared" si="27"/>
        <v>1</v>
      </c>
      <c r="G104" s="11" t="str">
        <f t="shared" si="19"/>
        <v/>
      </c>
      <c r="H104" s="11" t="str">
        <f t="shared" si="20"/>
        <v/>
      </c>
      <c r="I104" s="11">
        <f t="shared" si="21"/>
        <v>-15</v>
      </c>
      <c r="J104" s="11">
        <v>1</v>
      </c>
      <c r="K104" s="11">
        <f t="shared" si="22"/>
        <v>1</v>
      </c>
      <c r="L104" s="11" t="str">
        <f>'DA - 58'!H108</f>
        <v xml:space="preserve">Aerobar Bolts: Top 25mm; Bottom 15mm </v>
      </c>
      <c r="M104" s="11" t="s">
        <v>11</v>
      </c>
      <c r="P104" s="11" t="str">
        <f t="shared" ref="P104:R117" si="28">IFERROR(VLOOKUP(P52,$E$8:$L$907,8,FALSE),"")</f>
        <v xml:space="preserve">Aerobar Bolts: Top 50mm; Bottom N/A </v>
      </c>
      <c r="Q104" s="11" t="str">
        <f t="shared" si="28"/>
        <v xml:space="preserve">Aerobar Bolts: Top 25mm; Bottom 30mm </v>
      </c>
      <c r="R104" s="11" t="str">
        <f t="shared" si="28"/>
        <v xml:space="preserve">Aerobar Bolts: Top 35mm; Bottom 15mm </v>
      </c>
    </row>
    <row r="105" spans="1:18" x14ac:dyDescent="0.25">
      <c r="A105" s="11">
        <f>'DA - 58'!C109</f>
        <v>485</v>
      </c>
      <c r="B105" s="11">
        <f>'DA - 58'!D109</f>
        <v>455</v>
      </c>
      <c r="C105" s="11">
        <f>'DA - 58'!E109</f>
        <v>535</v>
      </c>
      <c r="D105" s="11">
        <f>'DA - 58'!G109</f>
        <v>675</v>
      </c>
      <c r="E105" s="11" t="str">
        <f>'DA - 58'!B109</f>
        <v>Frame: 58 ----- Stem: 70x30  ----- Aluminium Aerobar + 30</v>
      </c>
      <c r="F105" s="11">
        <f t="shared" si="27"/>
        <v>1</v>
      </c>
      <c r="G105" s="11">
        <f t="shared" si="19"/>
        <v>1</v>
      </c>
      <c r="H105" s="11" t="str">
        <f t="shared" si="20"/>
        <v/>
      </c>
      <c r="I105" s="11">
        <f t="shared" si="21"/>
        <v>-15</v>
      </c>
      <c r="J105" s="11">
        <v>1</v>
      </c>
      <c r="K105" s="11">
        <f t="shared" si="22"/>
        <v>1</v>
      </c>
      <c r="L105" s="11" t="str">
        <f>'DA - 58'!H109</f>
        <v xml:space="preserve">Aerobar Bolts: Top 25mm; Bottom 15mm </v>
      </c>
      <c r="M105" s="11" t="s">
        <v>11</v>
      </c>
      <c r="P105" s="11" t="str">
        <f t="shared" si="28"/>
        <v xml:space="preserve">Aerobar Bolts: Top 30mm; Bottom 30mm </v>
      </c>
      <c r="Q105" s="11" t="str">
        <f t="shared" si="28"/>
        <v xml:space="preserve">Aerobar Bolts: Top 25mm; Bottom 30mm </v>
      </c>
      <c r="R105" s="11" t="str">
        <f t="shared" si="28"/>
        <v xml:space="preserve">Aerobar Bolts: Top 35mm; Bottom 15mm </v>
      </c>
    </row>
    <row r="106" spans="1:18" x14ac:dyDescent="0.25">
      <c r="A106" s="11">
        <f>'DA - 58'!C110</f>
        <v>485</v>
      </c>
      <c r="B106" s="11">
        <f>'DA - 58'!D110</f>
        <v>455</v>
      </c>
      <c r="C106" s="11">
        <f>'DA - 58'!E110</f>
        <v>535</v>
      </c>
      <c r="D106" s="11">
        <f>'DA - 58'!G110</f>
        <v>675</v>
      </c>
      <c r="E106" s="11" t="str">
        <f>'DA - 58'!B110</f>
        <v>Frame: 58 ----- Stem: 70x30  ----- Aluminium Aerobar + 20 + bridge + 5</v>
      </c>
      <c r="F106" s="11">
        <f t="shared" si="27"/>
        <v>1</v>
      </c>
      <c r="G106" s="11" t="str">
        <f t="shared" si="19"/>
        <v/>
      </c>
      <c r="H106" s="11" t="str">
        <f t="shared" si="20"/>
        <v/>
      </c>
      <c r="I106" s="11">
        <f t="shared" si="21"/>
        <v>-15</v>
      </c>
      <c r="J106" s="11">
        <v>1</v>
      </c>
      <c r="K106" s="11">
        <f t="shared" si="22"/>
        <v>1</v>
      </c>
      <c r="L106" s="11" t="str">
        <f>'DA - 58'!H110</f>
        <v xml:space="preserve">Aerobar Bolts: Top 25mm; Bottom 15mm </v>
      </c>
      <c r="M106" s="11" t="s">
        <v>11</v>
      </c>
      <c r="P106" s="11" t="str">
        <f t="shared" si="28"/>
        <v xml:space="preserve">Aerobar Bolts: Top 30mm; Bottom 30mm </v>
      </c>
      <c r="Q106" s="11" t="str">
        <f t="shared" si="28"/>
        <v xml:space="preserve">Aerobar Bolts: Top 35mm; Bottom 30mm </v>
      </c>
      <c r="R106" s="11" t="str">
        <f t="shared" si="28"/>
        <v/>
      </c>
    </row>
    <row r="107" spans="1:18" x14ac:dyDescent="0.25">
      <c r="A107" s="11">
        <f>'DA - 58'!C111</f>
        <v>485</v>
      </c>
      <c r="B107" s="11">
        <f>'DA - 58'!D111</f>
        <v>455</v>
      </c>
      <c r="C107" s="11">
        <f>'DA - 58'!E111</f>
        <v>535</v>
      </c>
      <c r="D107" s="11">
        <f>'DA - 58'!G111</f>
        <v>680</v>
      </c>
      <c r="E107" s="11" t="str">
        <f>'DA - 58'!B111</f>
        <v>Frame: 58 ----- Stem: 70x30  ----- Aluminium Aerobar + 30 + bridge</v>
      </c>
      <c r="F107" s="11">
        <f t="shared" si="27"/>
        <v>1</v>
      </c>
      <c r="G107" s="11">
        <f t="shared" si="19"/>
        <v>1</v>
      </c>
      <c r="H107" s="11" t="str">
        <f t="shared" si="20"/>
        <v/>
      </c>
      <c r="I107" s="11">
        <f t="shared" si="21"/>
        <v>-15</v>
      </c>
      <c r="J107" s="11">
        <v>1</v>
      </c>
      <c r="K107" s="11">
        <f t="shared" si="22"/>
        <v>1</v>
      </c>
      <c r="L107" s="11" t="str">
        <f>'DA - 58'!H111</f>
        <v xml:space="preserve">Aerobar Bolts: Top 30mm; Bottom 15mm </v>
      </c>
      <c r="M107" s="11" t="s">
        <v>11</v>
      </c>
      <c r="P107" s="11" t="str">
        <f t="shared" si="28"/>
        <v xml:space="preserve">Aerobar Bolts: Top 35mm; Bottom N/A </v>
      </c>
      <c r="Q107" s="11" t="str">
        <f t="shared" si="28"/>
        <v xml:space="preserve">Aerobar Bolts: Top 35mm; Bottom 30mm </v>
      </c>
      <c r="R107" s="11" t="str">
        <f t="shared" si="28"/>
        <v/>
      </c>
    </row>
    <row r="108" spans="1:18" x14ac:dyDescent="0.25">
      <c r="A108" s="11">
        <f>'DA - 58'!C112</f>
        <v>485</v>
      </c>
      <c r="B108" s="11">
        <f>'DA - 58'!D112</f>
        <v>455</v>
      </c>
      <c r="C108" s="11">
        <f>'DA - 58'!E112</f>
        <v>535</v>
      </c>
      <c r="D108" s="11">
        <f>'DA - 58'!G112</f>
        <v>685</v>
      </c>
      <c r="E108" s="11" t="str">
        <f>'DA - 58'!B112</f>
        <v>Frame: 58 ----- Stem: 70x30  ----- Aluminium Aerobar + 30 + bridge + 5</v>
      </c>
      <c r="F108" s="11">
        <f t="shared" si="27"/>
        <v>1</v>
      </c>
      <c r="G108" s="11">
        <f t="shared" si="19"/>
        <v>1</v>
      </c>
      <c r="H108" s="11" t="str">
        <f t="shared" si="20"/>
        <v/>
      </c>
      <c r="I108" s="11">
        <f t="shared" si="21"/>
        <v>-15</v>
      </c>
      <c r="J108" s="11">
        <v>1</v>
      </c>
      <c r="K108" s="11">
        <f t="shared" si="22"/>
        <v>1</v>
      </c>
      <c r="L108" s="11" t="str">
        <f>'DA - 58'!H112</f>
        <v xml:space="preserve">Aerobar Bolts: Top 30mm; Bottom 15mm </v>
      </c>
      <c r="M108" s="11" t="s">
        <v>11</v>
      </c>
      <c r="P108" s="11" t="str">
        <f t="shared" si="28"/>
        <v xml:space="preserve">Aerobar Bolts: Top 35mm; Bottom N/A </v>
      </c>
      <c r="Q108" s="11" t="str">
        <f t="shared" si="28"/>
        <v xml:space="preserve">Aerobar Bolts: Top 30mm; Bottom 30mm </v>
      </c>
      <c r="R108" s="11" t="str">
        <f t="shared" si="28"/>
        <v/>
      </c>
    </row>
    <row r="109" spans="1:18" x14ac:dyDescent="0.25">
      <c r="A109" s="11">
        <f>'DA - 58'!C113</f>
        <v>485</v>
      </c>
      <c r="B109" s="11">
        <f>'DA - 58'!D113</f>
        <v>455</v>
      </c>
      <c r="C109" s="11">
        <f>'DA - 58'!E113</f>
        <v>535</v>
      </c>
      <c r="D109" s="11">
        <f>'DA - 58'!G113</f>
        <v>690</v>
      </c>
      <c r="E109" s="11" t="str">
        <f>'DA - 58'!B113</f>
        <v>Frame: 58 ----- Stem: 70x30  ----- Aluminium Aerobar + 40 + bridge</v>
      </c>
      <c r="F109" s="11">
        <f t="shared" si="27"/>
        <v>1</v>
      </c>
      <c r="G109" s="11" t="str">
        <f t="shared" si="19"/>
        <v/>
      </c>
      <c r="H109" s="11">
        <f t="shared" si="20"/>
        <v>1</v>
      </c>
      <c r="I109" s="11">
        <f t="shared" si="21"/>
        <v>-15</v>
      </c>
      <c r="J109" s="11">
        <v>1</v>
      </c>
      <c r="K109" s="11">
        <f t="shared" si="22"/>
        <v>1</v>
      </c>
      <c r="L109" s="11" t="str">
        <f>'DA - 58'!H113</f>
        <v xml:space="preserve">Aerobar Bolts: Top 35mm; Bottom 15mm </v>
      </c>
      <c r="M109" s="11" t="s">
        <v>11</v>
      </c>
      <c r="P109" s="11" t="str">
        <f t="shared" si="28"/>
        <v xml:space="preserve">Aerobar Bolts: Top 50mm; Bottom N/A </v>
      </c>
      <c r="Q109" s="11" t="str">
        <f t="shared" si="28"/>
        <v/>
      </c>
      <c r="R109" s="11" t="str">
        <f t="shared" si="28"/>
        <v/>
      </c>
    </row>
    <row r="110" spans="1:18" x14ac:dyDescent="0.25">
      <c r="A110" s="11">
        <f>'DA - 58'!C114</f>
        <v>485</v>
      </c>
      <c r="B110" s="11">
        <f>'DA - 58'!D114</f>
        <v>455</v>
      </c>
      <c r="C110" s="11">
        <f>'DA - 58'!E114</f>
        <v>535</v>
      </c>
      <c r="D110" s="11">
        <f>'DA - 58'!G114</f>
        <v>695</v>
      </c>
      <c r="E110" s="11" t="str">
        <f>'DA - 58'!B114</f>
        <v>Frame: 58 ----- Stem: 70x30  ----- Aluminium Aerobar + 40 + bridge + 5</v>
      </c>
      <c r="F110" s="11">
        <f t="shared" si="27"/>
        <v>1</v>
      </c>
      <c r="G110" s="11" t="str">
        <f t="shared" si="19"/>
        <v/>
      </c>
      <c r="H110" s="11">
        <f t="shared" si="20"/>
        <v>1</v>
      </c>
      <c r="I110" s="11">
        <f t="shared" si="21"/>
        <v>-15</v>
      </c>
      <c r="J110" s="11">
        <v>1</v>
      </c>
      <c r="K110" s="11">
        <f t="shared" si="22"/>
        <v>1</v>
      </c>
      <c r="L110" s="11" t="str">
        <f>'DA - 58'!H114</f>
        <v xml:space="preserve">Aerobar Bolts: Top 35mm; Bottom 15mm </v>
      </c>
      <c r="M110" s="11" t="s">
        <v>11</v>
      </c>
      <c r="P110" s="11" t="str">
        <f t="shared" si="28"/>
        <v xml:space="preserve">Aerobar Bolts: Top 50mm; Bottom N/A </v>
      </c>
      <c r="Q110" s="11" t="str">
        <f t="shared" si="28"/>
        <v/>
      </c>
      <c r="R110" s="11" t="str">
        <f t="shared" si="28"/>
        <v/>
      </c>
    </row>
    <row r="111" spans="1:18" x14ac:dyDescent="0.25">
      <c r="A111" s="11">
        <f>'DA - 58'!C115</f>
        <v>485</v>
      </c>
      <c r="B111" s="11">
        <f>'DA - 58'!D115</f>
        <v>455</v>
      </c>
      <c r="C111" s="11">
        <f>'DA - 58'!E115</f>
        <v>535</v>
      </c>
      <c r="D111" s="11">
        <f>'DA - 58'!G115</f>
        <v>700</v>
      </c>
      <c r="E111" s="11" t="str">
        <f>'DA - 58'!B115</f>
        <v>Frame: 58 ----- Stem: 70x30  ----- Aluminium Aerobar + 40 + bridge + 10</v>
      </c>
      <c r="F111" s="11">
        <f t="shared" si="27"/>
        <v>1</v>
      </c>
      <c r="G111" s="11" t="str">
        <f t="shared" si="19"/>
        <v/>
      </c>
      <c r="H111" s="11">
        <f t="shared" si="20"/>
        <v>1</v>
      </c>
      <c r="I111" s="11">
        <f t="shared" si="21"/>
        <v>-15</v>
      </c>
      <c r="J111" s="11">
        <v>1</v>
      </c>
      <c r="K111" s="11">
        <f t="shared" si="22"/>
        <v>1</v>
      </c>
      <c r="L111" s="11" t="str">
        <f>'DA - 58'!H115</f>
        <v xml:space="preserve">Aerobar Bolts: Top 35mm; Bottom 15mm </v>
      </c>
      <c r="M111" s="11" t="s">
        <v>11</v>
      </c>
      <c r="P111" s="11" t="str">
        <f t="shared" si="28"/>
        <v xml:space="preserve">Aerobar Bolts: Top 25mm; Bottom 15mm </v>
      </c>
      <c r="Q111" s="11" t="str">
        <f t="shared" si="28"/>
        <v/>
      </c>
      <c r="R111" s="11" t="str">
        <f t="shared" si="28"/>
        <v/>
      </c>
    </row>
    <row r="112" spans="1:18" x14ac:dyDescent="0.25">
      <c r="A112" s="11">
        <f>'DA - 58'!C116</f>
        <v>485</v>
      </c>
      <c r="B112" s="11">
        <f>'DA - 58'!D116</f>
        <v>455</v>
      </c>
      <c r="C112" s="11">
        <f>'DA - 58'!E116</f>
        <v>535</v>
      </c>
      <c r="D112" s="11">
        <f>'DA - 58'!G116</f>
        <v>705</v>
      </c>
      <c r="E112" s="11" t="str">
        <f>'DA - 58'!B116</f>
        <v>Frame: 58 ----- Stem: 70x30  ----- Aluminium Aerobar + 40 + bridge + 10 + 5</v>
      </c>
      <c r="F112" s="11">
        <f t="shared" si="27"/>
        <v>1</v>
      </c>
      <c r="G112" s="11" t="str">
        <f t="shared" si="19"/>
        <v/>
      </c>
      <c r="H112" s="11">
        <f t="shared" si="20"/>
        <v>1</v>
      </c>
      <c r="I112" s="11">
        <f t="shared" si="21"/>
        <v>-15</v>
      </c>
      <c r="J112" s="11">
        <v>1</v>
      </c>
      <c r="K112" s="11">
        <f t="shared" si="22"/>
        <v>1</v>
      </c>
      <c r="L112" s="11" t="str">
        <f>'DA - 58'!H116</f>
        <v xml:space="preserve">Aerobar Bolts: Top 35mm; Bottom 25mm </v>
      </c>
      <c r="M112" s="11" t="s">
        <v>11</v>
      </c>
      <c r="P112" s="11" t="str">
        <f t="shared" si="28"/>
        <v xml:space="preserve">Aerobar Bolts: Top 25mm; Bottom 15mm </v>
      </c>
      <c r="Q112" s="11" t="str">
        <f t="shared" si="28"/>
        <v/>
      </c>
      <c r="R112" s="11" t="str">
        <f t="shared" si="28"/>
        <v/>
      </c>
    </row>
    <row r="113" spans="1:18" x14ac:dyDescent="0.25">
      <c r="A113" s="11">
        <f>'DA - 58'!C117</f>
        <v>475</v>
      </c>
      <c r="B113" s="11">
        <f>'DA - 58'!D117</f>
        <v>445</v>
      </c>
      <c r="C113" s="11">
        <f>'DA - 58'!E117</f>
        <v>525</v>
      </c>
      <c r="D113" s="11">
        <f>'DA - 58'!G117</f>
        <v>675</v>
      </c>
      <c r="E113" s="11" t="str">
        <f>'DA - 58'!B117</f>
        <v>Frame: 58 ----- Stem: 70x60  ----- Aluminium Aerobar</v>
      </c>
      <c r="F113" s="11">
        <f t="shared" si="27"/>
        <v>1</v>
      </c>
      <c r="G113" s="11" t="str">
        <f t="shared" si="19"/>
        <v/>
      </c>
      <c r="H113" s="11" t="str">
        <f t="shared" si="20"/>
        <v/>
      </c>
      <c r="I113" s="11">
        <f t="shared" si="21"/>
        <v>-5</v>
      </c>
      <c r="J113" s="11">
        <v>1</v>
      </c>
      <c r="K113" s="11">
        <f t="shared" si="22"/>
        <v>1</v>
      </c>
      <c r="L113" s="11" t="str">
        <f>'DA - 58'!H117</f>
        <v xml:space="preserve">Aerobar Bolts: Top 20mm; Bottom N/A </v>
      </c>
      <c r="M113" s="11" t="s">
        <v>11</v>
      </c>
      <c r="P113" s="11" t="str">
        <f t="shared" si="28"/>
        <v xml:space="preserve">Aerobar Bolts: Top 25mm; Bottom 15mm </v>
      </c>
      <c r="Q113" s="11" t="str">
        <f t="shared" si="28"/>
        <v/>
      </c>
      <c r="R113" s="11" t="str">
        <f t="shared" si="28"/>
        <v/>
      </c>
    </row>
    <row r="114" spans="1:18" x14ac:dyDescent="0.25">
      <c r="A114" s="11">
        <f>'DA - 58'!C118</f>
        <v>475</v>
      </c>
      <c r="B114" s="11">
        <f>'DA - 58'!D118</f>
        <v>445</v>
      </c>
      <c r="C114" s="11">
        <f>'DA - 58'!E118</f>
        <v>525</v>
      </c>
      <c r="D114" s="11">
        <f>'DA - 58'!G118</f>
        <v>680</v>
      </c>
      <c r="E114" s="11" t="str">
        <f>'DA - 58'!B118</f>
        <v>Frame: 58 ----- Stem: 70x60  ----- Aluminium Aerobar + 5</v>
      </c>
      <c r="F114" s="11">
        <f t="shared" si="27"/>
        <v>1</v>
      </c>
      <c r="G114" s="11" t="str">
        <f t="shared" si="19"/>
        <v/>
      </c>
      <c r="H114" s="11" t="str">
        <f t="shared" si="20"/>
        <v/>
      </c>
      <c r="I114" s="11">
        <f t="shared" si="21"/>
        <v>-5</v>
      </c>
      <c r="J114" s="11">
        <v>1</v>
      </c>
      <c r="K114" s="11">
        <f t="shared" si="22"/>
        <v>1</v>
      </c>
      <c r="L114" s="11" t="str">
        <f>'DA - 58'!H118</f>
        <v xml:space="preserve">Aerobar Bolts: Top 25mm; Bottom N/A </v>
      </c>
      <c r="M114" s="11" t="s">
        <v>11</v>
      </c>
      <c r="P114" s="11" t="str">
        <f t="shared" si="28"/>
        <v xml:space="preserve">Aerobar Bolts: Top 25mm; Bottom 15mm </v>
      </c>
      <c r="Q114" s="11" t="str">
        <f t="shared" si="28"/>
        <v/>
      </c>
      <c r="R114" s="11" t="str">
        <f t="shared" si="28"/>
        <v/>
      </c>
    </row>
    <row r="115" spans="1:18" x14ac:dyDescent="0.25">
      <c r="A115" s="11">
        <f>'DA - 58'!C119</f>
        <v>475</v>
      </c>
      <c r="B115" s="11">
        <f>'DA - 58'!D119</f>
        <v>445</v>
      </c>
      <c r="C115" s="11">
        <f>'DA - 58'!E119</f>
        <v>525</v>
      </c>
      <c r="D115" s="11">
        <f>'DA - 58'!G119</f>
        <v>685</v>
      </c>
      <c r="E115" s="11" t="str">
        <f>'DA - 58'!B119</f>
        <v>Frame: 58 ----- Stem: 70x60  ----- Aluminium Aerobar + 10</v>
      </c>
      <c r="F115" s="11">
        <f t="shared" si="27"/>
        <v>1</v>
      </c>
      <c r="G115" s="11" t="str">
        <f t="shared" si="19"/>
        <v/>
      </c>
      <c r="H115" s="11" t="str">
        <f t="shared" si="20"/>
        <v/>
      </c>
      <c r="I115" s="11">
        <f t="shared" si="21"/>
        <v>-5</v>
      </c>
      <c r="J115" s="11">
        <v>1</v>
      </c>
      <c r="K115" s="11">
        <f t="shared" si="22"/>
        <v>1</v>
      </c>
      <c r="L115" s="11" t="str">
        <f>'DA - 58'!H119</f>
        <v xml:space="preserve">Aerobar Bolts: Top 30mm; Bottom N/A </v>
      </c>
      <c r="M115" s="11" t="s">
        <v>11</v>
      </c>
      <c r="P115" s="11" t="str">
        <f t="shared" si="28"/>
        <v xml:space="preserve">Aerobar Bolts: Top 20mm; Bottom 15mm </v>
      </c>
      <c r="Q115" s="11" t="str">
        <f t="shared" si="28"/>
        <v/>
      </c>
      <c r="R115" s="11" t="str">
        <f t="shared" si="28"/>
        <v/>
      </c>
    </row>
    <row r="116" spans="1:18" x14ac:dyDescent="0.25">
      <c r="A116" s="11">
        <f>'DA - 58'!C120</f>
        <v>475</v>
      </c>
      <c r="B116" s="11">
        <f>'DA - 58'!D120</f>
        <v>445</v>
      </c>
      <c r="C116" s="11">
        <f>'DA - 58'!E120</f>
        <v>525</v>
      </c>
      <c r="D116" s="11">
        <f>'DA - 58'!G120</f>
        <v>690</v>
      </c>
      <c r="E116" s="11" t="str">
        <f>'DA - 58'!B120</f>
        <v>Frame: 58 ----- Stem: 70x60  ----- Aluminium Aerobar + 5 + 10</v>
      </c>
      <c r="F116" s="11">
        <f t="shared" si="27"/>
        <v>1</v>
      </c>
      <c r="G116" s="11" t="str">
        <f t="shared" si="19"/>
        <v/>
      </c>
      <c r="H116" s="11" t="str">
        <f t="shared" si="20"/>
        <v/>
      </c>
      <c r="I116" s="11">
        <f t="shared" si="21"/>
        <v>-5</v>
      </c>
      <c r="J116" s="11">
        <v>1</v>
      </c>
      <c r="K116" s="11">
        <f t="shared" si="22"/>
        <v>1</v>
      </c>
      <c r="L116" s="11" t="str">
        <f>'DA - 58'!H120</f>
        <v xml:space="preserve">Aerobar Bolts: Top 35mm; Bottom N/A </v>
      </c>
      <c r="M116" s="11" t="s">
        <v>11</v>
      </c>
      <c r="P116" s="11" t="str">
        <f t="shared" si="28"/>
        <v/>
      </c>
      <c r="Q116" s="11" t="str">
        <f t="shared" si="28"/>
        <v/>
      </c>
      <c r="R116" s="11" t="str">
        <f t="shared" si="28"/>
        <v/>
      </c>
    </row>
    <row r="117" spans="1:18" x14ac:dyDescent="0.25">
      <c r="A117" s="11">
        <f>'DA - 58'!C121</f>
        <v>475</v>
      </c>
      <c r="B117" s="11">
        <f>'DA - 58'!D121</f>
        <v>445</v>
      </c>
      <c r="C117" s="11">
        <f>'DA - 58'!E121</f>
        <v>525</v>
      </c>
      <c r="D117" s="11">
        <f>'DA - 58'!G121</f>
        <v>695</v>
      </c>
      <c r="E117" s="11" t="str">
        <f>'DA - 58'!B121</f>
        <v>Frame: 58 ----- Stem: 70x60  ----- Aluminium Aerobar + 20</v>
      </c>
      <c r="F117" s="11">
        <f t="shared" si="27"/>
        <v>1</v>
      </c>
      <c r="G117" s="11" t="str">
        <f t="shared" si="19"/>
        <v/>
      </c>
      <c r="H117" s="11" t="str">
        <f t="shared" si="20"/>
        <v/>
      </c>
      <c r="I117" s="11">
        <f t="shared" si="21"/>
        <v>-5</v>
      </c>
      <c r="J117" s="11">
        <v>1</v>
      </c>
      <c r="K117" s="11">
        <f t="shared" si="22"/>
        <v>1</v>
      </c>
      <c r="L117" s="11" t="str">
        <f>'DA - 58'!H121</f>
        <v xml:space="preserve">Aerobar Bolts: Top 20mm; Bottom 15mm </v>
      </c>
      <c r="M117" s="11" t="s">
        <v>11</v>
      </c>
      <c r="P117" s="11" t="str">
        <f t="shared" si="28"/>
        <v/>
      </c>
      <c r="Q117" s="11" t="str">
        <f t="shared" si="28"/>
        <v/>
      </c>
      <c r="R117" s="11" t="str">
        <f t="shared" si="28"/>
        <v/>
      </c>
    </row>
    <row r="118" spans="1:18" x14ac:dyDescent="0.25">
      <c r="A118" s="11">
        <f>'DA - 58'!C122</f>
        <v>475</v>
      </c>
      <c r="B118" s="11">
        <f>'DA - 58'!D122</f>
        <v>445</v>
      </c>
      <c r="C118" s="11">
        <f>'DA - 58'!E122</f>
        <v>525</v>
      </c>
      <c r="D118" s="11">
        <f>'DA - 58'!G122</f>
        <v>700</v>
      </c>
      <c r="E118" s="11" t="str">
        <f>'DA - 58'!B122</f>
        <v>Frame: 58 ----- Stem: 70x60  ----- Aluminium Aerobar + 20 + 5</v>
      </c>
      <c r="F118" s="11">
        <f t="shared" si="27"/>
        <v>1</v>
      </c>
      <c r="G118" s="11" t="str">
        <f t="shared" si="19"/>
        <v/>
      </c>
      <c r="H118" s="11" t="str">
        <f t="shared" si="20"/>
        <v/>
      </c>
      <c r="I118" s="11">
        <f t="shared" si="21"/>
        <v>-5</v>
      </c>
      <c r="J118" s="11">
        <v>1</v>
      </c>
      <c r="K118" s="11">
        <f t="shared" si="22"/>
        <v>1</v>
      </c>
      <c r="L118" s="11" t="str">
        <f>'DA - 58'!H122</f>
        <v xml:space="preserve">Aerobar Bolts: Top 25mm; Bottom 15mm </v>
      </c>
      <c r="M118" s="11" t="s">
        <v>11</v>
      </c>
      <c r="P118" s="11" t="str">
        <f t="shared" ref="P118:P127" si="29">IFERROR(VLOOKUP(P66,$E$8:$L$907,8,FALSE),"")</f>
        <v/>
      </c>
    </row>
    <row r="119" spans="1:18" x14ac:dyDescent="0.25">
      <c r="A119" s="11">
        <f>'DA - 58'!C123</f>
        <v>475</v>
      </c>
      <c r="B119" s="11">
        <f>'DA - 58'!D123</f>
        <v>445</v>
      </c>
      <c r="C119" s="11">
        <f>'DA - 58'!E123</f>
        <v>525</v>
      </c>
      <c r="D119" s="11">
        <f>'DA - 58'!G123</f>
        <v>700</v>
      </c>
      <c r="E119" s="11" t="str">
        <f>'DA - 58'!B123</f>
        <v>Frame: 58 ----- Stem: 70x60  ----- Aluminium Aerobar + 20 + bridge</v>
      </c>
      <c r="F119" s="11">
        <f t="shared" si="27"/>
        <v>1</v>
      </c>
      <c r="G119" s="11" t="str">
        <f t="shared" si="19"/>
        <v/>
      </c>
      <c r="H119" s="11" t="str">
        <f t="shared" si="20"/>
        <v/>
      </c>
      <c r="I119" s="11">
        <f t="shared" si="21"/>
        <v>-5</v>
      </c>
      <c r="J119" s="11">
        <v>1</v>
      </c>
      <c r="K119" s="11">
        <f t="shared" si="22"/>
        <v>1</v>
      </c>
      <c r="L119" s="11" t="str">
        <f>'DA - 58'!H123</f>
        <v xml:space="preserve">Aerobar Bolts: Top 25mm; Bottom 15mm </v>
      </c>
      <c r="M119" s="11" t="s">
        <v>11</v>
      </c>
      <c r="P119" s="11" t="str">
        <f t="shared" si="29"/>
        <v/>
      </c>
    </row>
    <row r="120" spans="1:18" x14ac:dyDescent="0.25">
      <c r="A120" s="11">
        <f>'DA - 58'!C124</f>
        <v>475</v>
      </c>
      <c r="B120" s="11">
        <f>'DA - 58'!D124</f>
        <v>445</v>
      </c>
      <c r="C120" s="11">
        <f>'DA - 58'!E124</f>
        <v>525</v>
      </c>
      <c r="D120" s="11">
        <f>'DA - 58'!G124</f>
        <v>705</v>
      </c>
      <c r="E120" s="11" t="str">
        <f>'DA - 58'!B124</f>
        <v>Frame: 58 ----- Stem: 70x60  ----- Aluminium Aerobar + 30</v>
      </c>
      <c r="F120" s="11">
        <f>IF(AND($F$5&gt;=B120,$F$5&lt;=C120),1,"")</f>
        <v>1</v>
      </c>
      <c r="G120" s="11">
        <f t="shared" si="19"/>
        <v>1</v>
      </c>
      <c r="H120" s="11" t="str">
        <f t="shared" si="20"/>
        <v/>
      </c>
      <c r="I120" s="11">
        <f t="shared" si="21"/>
        <v>-5</v>
      </c>
      <c r="J120" s="11">
        <v>1</v>
      </c>
      <c r="K120" s="11">
        <f t="shared" si="22"/>
        <v>1</v>
      </c>
      <c r="L120" s="11" t="str">
        <f>'DA - 58'!H124</f>
        <v xml:space="preserve">Aerobar Bolts: Top 25mm; Bottom 15mm </v>
      </c>
      <c r="M120" s="11" t="s">
        <v>11</v>
      </c>
      <c r="P120" s="11" t="str">
        <f t="shared" si="29"/>
        <v/>
      </c>
    </row>
    <row r="121" spans="1:18" x14ac:dyDescent="0.25">
      <c r="A121" s="11">
        <f>'DA - 58'!C125</f>
        <v>475</v>
      </c>
      <c r="B121" s="11">
        <f>'DA - 58'!D125</f>
        <v>445</v>
      </c>
      <c r="C121" s="11">
        <f>'DA - 58'!E125</f>
        <v>525</v>
      </c>
      <c r="D121" s="11">
        <f>'DA - 58'!G125</f>
        <v>705</v>
      </c>
      <c r="E121" s="11" t="str">
        <f>'DA - 58'!B125</f>
        <v>Frame: 58 ----- Stem: 70x60  ----- Aluminium Aerobar + 20 + bridge + 5</v>
      </c>
      <c r="F121" s="11">
        <f t="shared" si="27"/>
        <v>1</v>
      </c>
      <c r="G121" s="11" t="str">
        <f t="shared" si="19"/>
        <v/>
      </c>
      <c r="H121" s="11" t="str">
        <f t="shared" si="20"/>
        <v/>
      </c>
      <c r="I121" s="11">
        <f t="shared" si="21"/>
        <v>-5</v>
      </c>
      <c r="J121" s="11">
        <v>1</v>
      </c>
      <c r="K121" s="11">
        <f t="shared" si="22"/>
        <v>1</v>
      </c>
      <c r="L121" s="11" t="str">
        <f>'DA - 58'!H125</f>
        <v xml:space="preserve">Aerobar Bolts: Top 25mm; Bottom 15mm </v>
      </c>
      <c r="M121" s="11" t="s">
        <v>11</v>
      </c>
      <c r="P121" s="11" t="str">
        <f t="shared" si="29"/>
        <v/>
      </c>
    </row>
    <row r="122" spans="1:18" x14ac:dyDescent="0.25">
      <c r="A122" s="11">
        <f>'DA - 58'!C126</f>
        <v>475</v>
      </c>
      <c r="B122" s="11">
        <f>'DA - 58'!D126</f>
        <v>445</v>
      </c>
      <c r="C122" s="11">
        <f>'DA - 58'!E126</f>
        <v>525</v>
      </c>
      <c r="D122" s="11">
        <f>'DA - 58'!G126</f>
        <v>710</v>
      </c>
      <c r="E122" s="11" t="str">
        <f>'DA - 58'!B126</f>
        <v>Frame: 58 ----- Stem: 70x60  ----- Aluminium Aerobar + 30 + bridge</v>
      </c>
      <c r="F122" s="11">
        <f t="shared" si="27"/>
        <v>1</v>
      </c>
      <c r="G122" s="11">
        <f t="shared" si="19"/>
        <v>1</v>
      </c>
      <c r="H122" s="11" t="str">
        <f t="shared" si="20"/>
        <v/>
      </c>
      <c r="I122" s="11">
        <f t="shared" si="21"/>
        <v>-5</v>
      </c>
      <c r="J122" s="11">
        <v>1</v>
      </c>
      <c r="K122" s="11">
        <f t="shared" si="22"/>
        <v>1</v>
      </c>
      <c r="L122" s="11" t="str">
        <f>'DA - 58'!H126</f>
        <v xml:space="preserve">Aerobar Bolts: Top 30mm; Bottom 15mm </v>
      </c>
      <c r="M122" s="11" t="s">
        <v>11</v>
      </c>
      <c r="P122" s="11" t="str">
        <f t="shared" si="29"/>
        <v/>
      </c>
    </row>
    <row r="123" spans="1:18" x14ac:dyDescent="0.25">
      <c r="A123" s="11">
        <f>'DA - 58'!C127</f>
        <v>475</v>
      </c>
      <c r="B123" s="11">
        <f>'DA - 58'!D127</f>
        <v>445</v>
      </c>
      <c r="C123" s="11">
        <f>'DA - 58'!E127</f>
        <v>525</v>
      </c>
      <c r="D123" s="11">
        <f>'DA - 58'!G127</f>
        <v>715</v>
      </c>
      <c r="E123" s="11" t="str">
        <f>'DA - 58'!B127</f>
        <v>Frame: 58 ----- Stem: 70x60  ----- Aluminium Aerobar + 30 + bridge + 5</v>
      </c>
      <c r="F123" s="11">
        <f t="shared" si="27"/>
        <v>1</v>
      </c>
      <c r="G123" s="11">
        <f t="shared" si="19"/>
        <v>1</v>
      </c>
      <c r="H123" s="11" t="str">
        <f t="shared" si="20"/>
        <v/>
      </c>
      <c r="I123" s="11">
        <f t="shared" si="21"/>
        <v>-5</v>
      </c>
      <c r="J123" s="11">
        <v>1</v>
      </c>
      <c r="K123" s="11">
        <f t="shared" si="22"/>
        <v>1</v>
      </c>
      <c r="L123" s="11" t="str">
        <f>'DA - 58'!H127</f>
        <v xml:space="preserve">Aerobar Bolts: Top 30mm; Bottom 15mm </v>
      </c>
      <c r="M123" s="11" t="s">
        <v>11</v>
      </c>
      <c r="P123" s="11" t="str">
        <f t="shared" si="29"/>
        <v/>
      </c>
    </row>
    <row r="124" spans="1:18" x14ac:dyDescent="0.25">
      <c r="A124" s="11">
        <f>'DA - 58'!C128</f>
        <v>475</v>
      </c>
      <c r="B124" s="11">
        <f>'DA - 58'!D128</f>
        <v>445</v>
      </c>
      <c r="C124" s="11">
        <f>'DA - 58'!E128</f>
        <v>525</v>
      </c>
      <c r="D124" s="11">
        <f>'DA - 58'!G128</f>
        <v>720</v>
      </c>
      <c r="E124" s="11" t="str">
        <f>'DA - 58'!B128</f>
        <v>Frame: 58 ----- Stem: 70x60  ----- Aluminium Aerobar + 40 + bridge</v>
      </c>
      <c r="F124" s="11">
        <f t="shared" si="27"/>
        <v>1</v>
      </c>
      <c r="G124" s="11" t="str">
        <f t="shared" si="19"/>
        <v/>
      </c>
      <c r="H124" s="11">
        <f t="shared" si="20"/>
        <v>1</v>
      </c>
      <c r="I124" s="11">
        <f t="shared" si="21"/>
        <v>-5</v>
      </c>
      <c r="J124" s="11">
        <v>1</v>
      </c>
      <c r="K124" s="11">
        <f t="shared" si="22"/>
        <v>1</v>
      </c>
      <c r="L124" s="11" t="str">
        <f>'DA - 58'!H128</f>
        <v xml:space="preserve">Aerobar Bolts: Top 35mm; Bottom 15mm </v>
      </c>
      <c r="M124" s="11" t="s">
        <v>11</v>
      </c>
      <c r="P124" s="11" t="str">
        <f t="shared" si="29"/>
        <v/>
      </c>
    </row>
    <row r="125" spans="1:18" x14ac:dyDescent="0.25">
      <c r="A125" s="11">
        <f>'DA - 58'!C129</f>
        <v>475</v>
      </c>
      <c r="B125" s="11">
        <f>'DA - 58'!D129</f>
        <v>445</v>
      </c>
      <c r="C125" s="11">
        <f>'DA - 58'!E129</f>
        <v>525</v>
      </c>
      <c r="D125" s="11">
        <f>'DA - 58'!G129</f>
        <v>725</v>
      </c>
      <c r="E125" s="11" t="str">
        <f>'DA - 58'!B129</f>
        <v>Frame: 58 ----- Stem: 70x60  ----- Aluminium Aerobar + 40 + bridge + 5</v>
      </c>
      <c r="F125" s="11">
        <f t="shared" si="27"/>
        <v>1</v>
      </c>
      <c r="G125" s="11" t="str">
        <f t="shared" si="19"/>
        <v/>
      </c>
      <c r="H125" s="11">
        <f t="shared" si="20"/>
        <v>1</v>
      </c>
      <c r="I125" s="11">
        <f t="shared" si="21"/>
        <v>-5</v>
      </c>
      <c r="J125" s="11">
        <v>1</v>
      </c>
      <c r="K125" s="11">
        <f t="shared" si="22"/>
        <v>1</v>
      </c>
      <c r="L125" s="11" t="str">
        <f>'DA - 58'!H129</f>
        <v xml:space="preserve">Aerobar Bolts: Top 35mm; Bottom 15mm </v>
      </c>
      <c r="M125" s="11" t="s">
        <v>11</v>
      </c>
      <c r="P125" s="11" t="str">
        <f t="shared" si="29"/>
        <v/>
      </c>
    </row>
    <row r="126" spans="1:18" x14ac:dyDescent="0.25">
      <c r="A126" s="11">
        <f>'DA - 58'!C130</f>
        <v>475</v>
      </c>
      <c r="B126" s="11">
        <f>'DA - 58'!D130</f>
        <v>445</v>
      </c>
      <c r="C126" s="11">
        <f>'DA - 58'!E130</f>
        <v>525</v>
      </c>
      <c r="D126" s="11">
        <f>'DA - 58'!G130</f>
        <v>730</v>
      </c>
      <c r="E126" s="11" t="str">
        <f>'DA - 58'!B130</f>
        <v>Frame: 58 ----- Stem: 70x60  ----- Aluminium Aerobar + 40 + bridge + 10</v>
      </c>
      <c r="F126" s="11">
        <f t="shared" si="27"/>
        <v>1</v>
      </c>
      <c r="G126" s="11" t="str">
        <f t="shared" si="19"/>
        <v/>
      </c>
      <c r="H126" s="11">
        <f t="shared" si="20"/>
        <v>1</v>
      </c>
      <c r="I126" s="11">
        <f t="shared" si="21"/>
        <v>-5</v>
      </c>
      <c r="J126" s="11">
        <v>1</v>
      </c>
      <c r="K126" s="11">
        <f t="shared" si="22"/>
        <v>1</v>
      </c>
      <c r="L126" s="11" t="str">
        <f>'DA - 58'!H130</f>
        <v xml:space="preserve">Aerobar Bolts: Top 35mm; Bottom 15mm </v>
      </c>
      <c r="M126" s="11" t="s">
        <v>11</v>
      </c>
      <c r="P126" s="11" t="str">
        <f t="shared" si="29"/>
        <v/>
      </c>
    </row>
    <row r="127" spans="1:18" x14ac:dyDescent="0.25">
      <c r="A127" s="11">
        <f>'DA - 58'!C131</f>
        <v>475</v>
      </c>
      <c r="B127" s="11">
        <f>'DA - 58'!D131</f>
        <v>445</v>
      </c>
      <c r="C127" s="11">
        <f>'DA - 58'!E131</f>
        <v>525</v>
      </c>
      <c r="D127" s="11">
        <f>'DA - 58'!G131</f>
        <v>735</v>
      </c>
      <c r="E127" s="11" t="str">
        <f>'DA - 58'!B131</f>
        <v>Frame: 58 ----- Stem: 70x60  ----- Aluminium Aerobar + 40 + bridge + 10 + 5</v>
      </c>
      <c r="F127" s="11">
        <f t="shared" si="27"/>
        <v>1</v>
      </c>
      <c r="G127" s="11" t="str">
        <f t="shared" si="19"/>
        <v/>
      </c>
      <c r="H127" s="11">
        <f t="shared" si="20"/>
        <v>1</v>
      </c>
      <c r="I127" s="11">
        <f t="shared" si="21"/>
        <v>-5</v>
      </c>
      <c r="J127" s="11">
        <v>1</v>
      </c>
      <c r="K127" s="11">
        <f t="shared" si="22"/>
        <v>1</v>
      </c>
      <c r="L127" s="11" t="str">
        <f>'DA - 58'!H131</f>
        <v xml:space="preserve">Aerobar Bolts: Top 35mm; Bottom 25mm </v>
      </c>
      <c r="M127" s="11" t="s">
        <v>11</v>
      </c>
      <c r="P127" s="11" t="str">
        <f t="shared" si="29"/>
        <v/>
      </c>
    </row>
    <row r="128" spans="1:18" x14ac:dyDescent="0.25">
      <c r="A128" s="11">
        <f>'DA - 58'!C132</f>
        <v>515</v>
      </c>
      <c r="B128" s="11">
        <f>'DA - 58'!D132</f>
        <v>485</v>
      </c>
      <c r="C128" s="11">
        <f>'DA - 58'!E132</f>
        <v>565</v>
      </c>
      <c r="D128" s="11">
        <f>'DA - 58'!G132</f>
        <v>645</v>
      </c>
      <c r="E128" s="11" t="str">
        <f>'DA - 58'!B132</f>
        <v>Frame: 58 ----- Stem: 100x30  ----- Aluminium Aerobar</v>
      </c>
      <c r="F128" s="11" t="str">
        <f>IF(AND($F$5&gt;=B128,$F$5&lt;=C128),1,"")</f>
        <v/>
      </c>
      <c r="G128" s="11" t="str">
        <f t="shared" si="19"/>
        <v/>
      </c>
      <c r="H128" s="11" t="str">
        <f t="shared" si="20"/>
        <v/>
      </c>
      <c r="I128" s="11">
        <f t="shared" si="21"/>
        <v>-45</v>
      </c>
      <c r="J128" s="11">
        <v>1</v>
      </c>
      <c r="K128" s="11">
        <f t="shared" si="22"/>
        <v>1</v>
      </c>
      <c r="L128" s="11" t="str">
        <f>'DA - 58'!H132</f>
        <v xml:space="preserve">Aerobar Bolts: Top 20mm; Bottom N/A </v>
      </c>
      <c r="M128" s="11" t="s">
        <v>11</v>
      </c>
    </row>
    <row r="129" spans="1:13" x14ac:dyDescent="0.25">
      <c r="A129" s="11">
        <f>'DA - 58'!C133</f>
        <v>515</v>
      </c>
      <c r="B129" s="11">
        <f>'DA - 58'!D133</f>
        <v>485</v>
      </c>
      <c r="C129" s="11">
        <f>'DA - 58'!E133</f>
        <v>565</v>
      </c>
      <c r="D129" s="11">
        <f>'DA - 58'!G133</f>
        <v>650</v>
      </c>
      <c r="E129" s="11" t="str">
        <f>'DA - 58'!B133</f>
        <v>Frame: 58 ----- Stem: 100x30  ----- Aluminium Aerobar + 5</v>
      </c>
      <c r="F129" s="11" t="str">
        <f t="shared" ref="F129:F192" si="30">IF(AND($F$5&gt;=B129,$F$5&lt;=C129),1,"")</f>
        <v/>
      </c>
      <c r="G129" s="11" t="str">
        <f t="shared" si="19"/>
        <v/>
      </c>
      <c r="H129" s="11" t="str">
        <f t="shared" si="20"/>
        <v/>
      </c>
      <c r="I129" s="11">
        <f t="shared" si="21"/>
        <v>-45</v>
      </c>
      <c r="J129" s="11">
        <v>1</v>
      </c>
      <c r="K129" s="11">
        <f t="shared" si="22"/>
        <v>1</v>
      </c>
      <c r="L129" s="11" t="str">
        <f>'DA - 58'!H133</f>
        <v xml:space="preserve">Aerobar Bolts: Top 25mm; Bottom N/A </v>
      </c>
      <c r="M129" s="11" t="s">
        <v>11</v>
      </c>
    </row>
    <row r="130" spans="1:13" x14ac:dyDescent="0.25">
      <c r="A130" s="11">
        <f>'DA - 58'!C134</f>
        <v>515</v>
      </c>
      <c r="B130" s="11">
        <f>'DA - 58'!D134</f>
        <v>485</v>
      </c>
      <c r="C130" s="11">
        <f>'DA - 58'!E134</f>
        <v>565</v>
      </c>
      <c r="D130" s="11">
        <f>'DA - 58'!G134</f>
        <v>655</v>
      </c>
      <c r="E130" s="11" t="str">
        <f>'DA - 58'!B134</f>
        <v>Frame: 58 ----- Stem: 100x30  ----- Aluminium Aerobar + 10</v>
      </c>
      <c r="F130" s="11" t="str">
        <f t="shared" si="30"/>
        <v/>
      </c>
      <c r="G130" s="11" t="str">
        <f t="shared" si="19"/>
        <v/>
      </c>
      <c r="H130" s="11" t="str">
        <f t="shared" si="20"/>
        <v/>
      </c>
      <c r="I130" s="11">
        <f t="shared" si="21"/>
        <v>-45</v>
      </c>
      <c r="J130" s="11">
        <v>1</v>
      </c>
      <c r="K130" s="11">
        <f t="shared" si="22"/>
        <v>1</v>
      </c>
      <c r="L130" s="11" t="str">
        <f>'DA - 58'!H134</f>
        <v xml:space="preserve">Aerobar Bolts: Top 30mm; Bottom N/A </v>
      </c>
      <c r="M130" s="11" t="s">
        <v>11</v>
      </c>
    </row>
    <row r="131" spans="1:13" x14ac:dyDescent="0.25">
      <c r="A131" s="11">
        <f>'DA - 58'!C135</f>
        <v>515</v>
      </c>
      <c r="B131" s="11">
        <f>'DA - 58'!D135</f>
        <v>485</v>
      </c>
      <c r="C131" s="11">
        <f>'DA - 58'!E135</f>
        <v>565</v>
      </c>
      <c r="D131" s="11">
        <f>'DA - 58'!G135</f>
        <v>660</v>
      </c>
      <c r="E131" s="11" t="str">
        <f>'DA - 58'!B135</f>
        <v>Frame: 58 ----- Stem: 100x30  ----- Aluminium Aerobar + 5 + 10</v>
      </c>
      <c r="F131" s="11" t="str">
        <f t="shared" si="30"/>
        <v/>
      </c>
      <c r="G131" s="11" t="str">
        <f t="shared" si="19"/>
        <v/>
      </c>
      <c r="H131" s="11" t="str">
        <f t="shared" si="20"/>
        <v/>
      </c>
      <c r="I131" s="11">
        <f t="shared" si="21"/>
        <v>-45</v>
      </c>
      <c r="J131" s="11">
        <v>1</v>
      </c>
      <c r="K131" s="11">
        <f t="shared" si="22"/>
        <v>1</v>
      </c>
      <c r="L131" s="11" t="str">
        <f>'DA - 58'!H135</f>
        <v xml:space="preserve">Aerobar Bolts: Top 35mm; Bottom N/A </v>
      </c>
      <c r="M131" s="11" t="s">
        <v>11</v>
      </c>
    </row>
    <row r="132" spans="1:13" x14ac:dyDescent="0.25">
      <c r="A132" s="11">
        <f>'DA - 58'!C136</f>
        <v>515</v>
      </c>
      <c r="B132" s="11">
        <f>'DA - 58'!D136</f>
        <v>485</v>
      </c>
      <c r="C132" s="11">
        <f>'DA - 58'!E136</f>
        <v>565</v>
      </c>
      <c r="D132" s="11">
        <f>'DA - 58'!G136</f>
        <v>665</v>
      </c>
      <c r="E132" s="11" t="str">
        <f>'DA - 58'!B136</f>
        <v>Frame: 58 ----- Stem: 100x30  ----- Aluminium Aerobar + 20</v>
      </c>
      <c r="F132" s="11" t="str">
        <f t="shared" si="30"/>
        <v/>
      </c>
      <c r="G132" s="11" t="str">
        <f t="shared" si="19"/>
        <v/>
      </c>
      <c r="H132" s="11" t="str">
        <f t="shared" si="20"/>
        <v/>
      </c>
      <c r="I132" s="11">
        <f t="shared" si="21"/>
        <v>-45</v>
      </c>
      <c r="J132" s="11">
        <v>1</v>
      </c>
      <c r="K132" s="11">
        <f t="shared" si="22"/>
        <v>1</v>
      </c>
      <c r="L132" s="11" t="str">
        <f>'DA - 58'!H136</f>
        <v xml:space="preserve">Aerobar Bolts: Top 20mm; Bottom 15mm </v>
      </c>
      <c r="M132" s="11" t="s">
        <v>11</v>
      </c>
    </row>
    <row r="133" spans="1:13" x14ac:dyDescent="0.25">
      <c r="A133" s="11">
        <f>'DA - 58'!C137</f>
        <v>515</v>
      </c>
      <c r="B133" s="11">
        <f>'DA - 58'!D137</f>
        <v>485</v>
      </c>
      <c r="C133" s="11">
        <f>'DA - 58'!E137</f>
        <v>565</v>
      </c>
      <c r="D133" s="11">
        <f>'DA - 58'!G137</f>
        <v>670</v>
      </c>
      <c r="E133" s="11" t="str">
        <f>'DA - 58'!B137</f>
        <v>Frame: 58 ----- Stem: 100x30  ----- Aluminium Aerobar + 20 + 5</v>
      </c>
      <c r="F133" s="11" t="str">
        <f t="shared" si="30"/>
        <v/>
      </c>
      <c r="G133" s="11" t="str">
        <f t="shared" si="19"/>
        <v/>
      </c>
      <c r="H133" s="11" t="str">
        <f t="shared" si="20"/>
        <v/>
      </c>
      <c r="I133" s="11">
        <f t="shared" si="21"/>
        <v>-45</v>
      </c>
      <c r="J133" s="11">
        <v>1</v>
      </c>
      <c r="K133" s="11">
        <f t="shared" si="22"/>
        <v>1</v>
      </c>
      <c r="L133" s="11" t="str">
        <f>'DA - 58'!H137</f>
        <v xml:space="preserve">Aerobar Bolts: Top 25mm; Bottom 15mm </v>
      </c>
      <c r="M133" s="11" t="s">
        <v>11</v>
      </c>
    </row>
    <row r="134" spans="1:13" x14ac:dyDescent="0.25">
      <c r="A134" s="11">
        <f>'DA - 58'!C138</f>
        <v>515</v>
      </c>
      <c r="B134" s="11">
        <f>'DA - 58'!D138</f>
        <v>485</v>
      </c>
      <c r="C134" s="11">
        <f>'DA - 58'!E138</f>
        <v>565</v>
      </c>
      <c r="D134" s="11">
        <f>'DA - 58'!G138</f>
        <v>670</v>
      </c>
      <c r="E134" s="11" t="str">
        <f>'DA - 58'!B138</f>
        <v>Frame: 58 ----- Stem: 100x30  ----- Aluminium Aerobar + 20 + bridge</v>
      </c>
      <c r="F134" s="11" t="str">
        <f t="shared" si="30"/>
        <v/>
      </c>
      <c r="G134" s="11" t="str">
        <f t="shared" si="19"/>
        <v/>
      </c>
      <c r="H134" s="11" t="str">
        <f t="shared" si="20"/>
        <v/>
      </c>
      <c r="I134" s="11">
        <f t="shared" si="21"/>
        <v>-45</v>
      </c>
      <c r="J134" s="11">
        <v>1</v>
      </c>
      <c r="K134" s="11">
        <f t="shared" si="22"/>
        <v>1</v>
      </c>
      <c r="L134" s="11" t="str">
        <f>'DA - 58'!H138</f>
        <v xml:space="preserve">Aerobar Bolts: Top 25mm; Bottom 15mm </v>
      </c>
      <c r="M134" s="11" t="s">
        <v>11</v>
      </c>
    </row>
    <row r="135" spans="1:13" x14ac:dyDescent="0.25">
      <c r="A135" s="11">
        <f>'DA - 58'!C139</f>
        <v>515</v>
      </c>
      <c r="B135" s="11">
        <f>'DA - 58'!D139</f>
        <v>485</v>
      </c>
      <c r="C135" s="11">
        <f>'DA - 58'!E139</f>
        <v>565</v>
      </c>
      <c r="D135" s="11">
        <f>'DA - 58'!G139</f>
        <v>675</v>
      </c>
      <c r="E135" s="11" t="str">
        <f>'DA - 58'!B139</f>
        <v>Frame: 58 ----- Stem: 100x30  ----- Aluminium Aerobar + 30</v>
      </c>
      <c r="F135" s="11" t="str">
        <f t="shared" si="30"/>
        <v/>
      </c>
      <c r="G135" s="11">
        <f t="shared" si="19"/>
        <v>1</v>
      </c>
      <c r="H135" s="11" t="str">
        <f t="shared" si="20"/>
        <v/>
      </c>
      <c r="I135" s="11">
        <f t="shared" si="21"/>
        <v>-45</v>
      </c>
      <c r="J135" s="11">
        <v>1</v>
      </c>
      <c r="K135" s="11">
        <f t="shared" si="22"/>
        <v>1</v>
      </c>
      <c r="L135" s="11" t="str">
        <f>'DA - 58'!H139</f>
        <v xml:space="preserve">Aerobar Bolts: Top 25mm; Bottom 15mm </v>
      </c>
      <c r="M135" s="11" t="s">
        <v>11</v>
      </c>
    </row>
    <row r="136" spans="1:13" x14ac:dyDescent="0.25">
      <c r="A136" s="11">
        <f>'DA - 58'!C140</f>
        <v>515</v>
      </c>
      <c r="B136" s="11">
        <f>'DA - 58'!D140</f>
        <v>485</v>
      </c>
      <c r="C136" s="11">
        <f>'DA - 58'!E140</f>
        <v>565</v>
      </c>
      <c r="D136" s="11">
        <f>'DA - 58'!G140</f>
        <v>675</v>
      </c>
      <c r="E136" s="11" t="str">
        <f>'DA - 58'!B140</f>
        <v>Frame: 58 ----- Stem: 100x30  ----- Aluminium Aerobar + 20 + bridge + 5</v>
      </c>
      <c r="F136" s="11" t="str">
        <f t="shared" si="30"/>
        <v/>
      </c>
      <c r="G136" s="11" t="str">
        <f t="shared" si="19"/>
        <v/>
      </c>
      <c r="H136" s="11" t="str">
        <f t="shared" si="20"/>
        <v/>
      </c>
      <c r="I136" s="11">
        <f t="shared" si="21"/>
        <v>-45</v>
      </c>
      <c r="J136" s="11">
        <v>1</v>
      </c>
      <c r="K136" s="11">
        <f t="shared" si="22"/>
        <v>1</v>
      </c>
      <c r="L136" s="11" t="str">
        <f>'DA - 58'!H140</f>
        <v xml:space="preserve">Aerobar Bolts: Top 25mm; Bottom 15mm </v>
      </c>
      <c r="M136" s="11" t="s">
        <v>11</v>
      </c>
    </row>
    <row r="137" spans="1:13" x14ac:dyDescent="0.25">
      <c r="A137" s="11">
        <f>'DA - 58'!C141</f>
        <v>515</v>
      </c>
      <c r="B137" s="11">
        <f>'DA - 58'!D141</f>
        <v>485</v>
      </c>
      <c r="C137" s="11">
        <f>'DA - 58'!E141</f>
        <v>565</v>
      </c>
      <c r="D137" s="11">
        <f>'DA - 58'!G141</f>
        <v>680</v>
      </c>
      <c r="E137" s="11" t="str">
        <f>'DA - 58'!B141</f>
        <v>Frame: 58 ----- Stem: 100x30  ----- Aluminium Aerobar + 30 + bridge</v>
      </c>
      <c r="F137" s="11" t="str">
        <f t="shared" si="30"/>
        <v/>
      </c>
      <c r="G137" s="11">
        <f t="shared" ref="G137:G200" si="31">IF(ISNUMBER(FIND(" 30",E137)),1,"")</f>
        <v>1</v>
      </c>
      <c r="H137" s="11" t="str">
        <f t="shared" ref="H137:H200" si="32">IF(ISNUMBER(FIND(" 40",E137)),1,"")</f>
        <v/>
      </c>
      <c r="I137" s="11">
        <f t="shared" ref="I137:I200" si="33">$F$5-A137</f>
        <v>-45</v>
      </c>
      <c r="J137" s="11">
        <v>1</v>
      </c>
      <c r="K137" s="11">
        <f t="shared" ref="K137:K200" si="34">IF(ISNUMBER(FIND(" 58",E137)),$AD$9,IF(ISNUMBER(FIND(" 56",E137)),$AD$8,IF(ISNUMBER(FIND(" 54",E137)),$AD$7,IF(ISNUMBER(FIND(" 51",E137)),$AD$6,IF(ISNUMBER(FIND(" 47",E137)),$AD$5,"")))))</f>
        <v>1</v>
      </c>
      <c r="L137" s="11" t="str">
        <f>'DA - 58'!H141</f>
        <v xml:space="preserve">Aerobar Bolts: Top 30mm; Bottom 15mm </v>
      </c>
      <c r="M137" s="11" t="s">
        <v>11</v>
      </c>
    </row>
    <row r="138" spans="1:13" x14ac:dyDescent="0.25">
      <c r="A138" s="11">
        <f>'DA - 58'!C142</f>
        <v>515</v>
      </c>
      <c r="B138" s="11">
        <f>'DA - 58'!D142</f>
        <v>485</v>
      </c>
      <c r="C138" s="11">
        <f>'DA - 58'!E142</f>
        <v>565</v>
      </c>
      <c r="D138" s="11">
        <f>'DA - 58'!G142</f>
        <v>685</v>
      </c>
      <c r="E138" s="11" t="str">
        <f>'DA - 58'!B142</f>
        <v>Frame: 58 ----- Stem: 100x30  ----- Aluminium Aerobar + 30 + bridge + 5</v>
      </c>
      <c r="F138" s="11" t="str">
        <f t="shared" si="30"/>
        <v/>
      </c>
      <c r="G138" s="11">
        <f t="shared" si="31"/>
        <v>1</v>
      </c>
      <c r="H138" s="11" t="str">
        <f t="shared" si="32"/>
        <v/>
      </c>
      <c r="I138" s="11">
        <f t="shared" si="33"/>
        <v>-45</v>
      </c>
      <c r="J138" s="11">
        <v>1</v>
      </c>
      <c r="K138" s="11">
        <f t="shared" si="34"/>
        <v>1</v>
      </c>
      <c r="L138" s="11" t="str">
        <f>'DA - 58'!H142</f>
        <v xml:space="preserve">Aerobar Bolts: Top 30mm; Bottom 15mm </v>
      </c>
      <c r="M138" s="11" t="s">
        <v>11</v>
      </c>
    </row>
    <row r="139" spans="1:13" x14ac:dyDescent="0.25">
      <c r="A139" s="11">
        <f>'DA - 58'!C143</f>
        <v>515</v>
      </c>
      <c r="B139" s="11">
        <f>'DA - 58'!D143</f>
        <v>485</v>
      </c>
      <c r="C139" s="11">
        <f>'DA - 58'!E143</f>
        <v>565</v>
      </c>
      <c r="D139" s="11">
        <f>'DA - 58'!G143</f>
        <v>690</v>
      </c>
      <c r="E139" s="11" t="str">
        <f>'DA - 58'!B143</f>
        <v>Frame: 58 ----- Stem: 100x30  ----- Aluminium Aerobar + 40 + bridge</v>
      </c>
      <c r="F139" s="11" t="str">
        <f t="shared" si="30"/>
        <v/>
      </c>
      <c r="G139" s="11" t="str">
        <f t="shared" si="31"/>
        <v/>
      </c>
      <c r="H139" s="11">
        <f t="shared" si="32"/>
        <v>1</v>
      </c>
      <c r="I139" s="11">
        <f t="shared" si="33"/>
        <v>-45</v>
      </c>
      <c r="J139" s="11">
        <v>1</v>
      </c>
      <c r="K139" s="11">
        <f t="shared" si="34"/>
        <v>1</v>
      </c>
      <c r="L139" s="11" t="str">
        <f>'DA - 58'!H143</f>
        <v xml:space="preserve">Aerobar Bolts: Top 35mm; Bottom 15mm </v>
      </c>
      <c r="M139" s="11" t="s">
        <v>11</v>
      </c>
    </row>
    <row r="140" spans="1:13" x14ac:dyDescent="0.25">
      <c r="A140" s="11">
        <f>'DA - 58'!C144</f>
        <v>515</v>
      </c>
      <c r="B140" s="11">
        <f>'DA - 58'!D144</f>
        <v>485</v>
      </c>
      <c r="C140" s="11">
        <f>'DA - 58'!E144</f>
        <v>565</v>
      </c>
      <c r="D140" s="11">
        <f>'DA - 58'!G144</f>
        <v>695</v>
      </c>
      <c r="E140" s="11" t="str">
        <f>'DA - 58'!B144</f>
        <v>Frame: 58 ----- Stem: 100x30  ----- Aluminium Aerobar + 40 + bridge + 5</v>
      </c>
      <c r="F140" s="11" t="str">
        <f t="shared" si="30"/>
        <v/>
      </c>
      <c r="G140" s="11" t="str">
        <f t="shared" si="31"/>
        <v/>
      </c>
      <c r="H140" s="11">
        <f t="shared" si="32"/>
        <v>1</v>
      </c>
      <c r="I140" s="11">
        <f t="shared" si="33"/>
        <v>-45</v>
      </c>
      <c r="J140" s="11">
        <v>1</v>
      </c>
      <c r="K140" s="11">
        <f t="shared" si="34"/>
        <v>1</v>
      </c>
      <c r="L140" s="11" t="str">
        <f>'DA - 58'!H144</f>
        <v xml:space="preserve">Aerobar Bolts: Top 35mm; Bottom 15mm </v>
      </c>
      <c r="M140" s="11" t="s">
        <v>11</v>
      </c>
    </row>
    <row r="141" spans="1:13" x14ac:dyDescent="0.25">
      <c r="A141" s="11">
        <f>'DA - 58'!C145</f>
        <v>515</v>
      </c>
      <c r="B141" s="11">
        <f>'DA - 58'!D145</f>
        <v>485</v>
      </c>
      <c r="C141" s="11">
        <f>'DA - 58'!E145</f>
        <v>565</v>
      </c>
      <c r="D141" s="11">
        <f>'DA - 58'!G145</f>
        <v>700</v>
      </c>
      <c r="E141" s="11" t="str">
        <f>'DA - 58'!B145</f>
        <v>Frame: 58 ----- Stem: 100x30  ----- Aluminium Aerobar + 40 + bridge + 10</v>
      </c>
      <c r="F141" s="11" t="str">
        <f t="shared" si="30"/>
        <v/>
      </c>
      <c r="G141" s="11" t="str">
        <f t="shared" si="31"/>
        <v/>
      </c>
      <c r="H141" s="11">
        <f t="shared" si="32"/>
        <v>1</v>
      </c>
      <c r="I141" s="11">
        <f t="shared" si="33"/>
        <v>-45</v>
      </c>
      <c r="J141" s="11">
        <v>1</v>
      </c>
      <c r="K141" s="11">
        <f t="shared" si="34"/>
        <v>1</v>
      </c>
      <c r="L141" s="11" t="str">
        <f>'DA - 58'!H145</f>
        <v xml:space="preserve">Aerobar Bolts: Top 35mm; Bottom 15mm </v>
      </c>
      <c r="M141" s="11" t="s">
        <v>11</v>
      </c>
    </row>
    <row r="142" spans="1:13" x14ac:dyDescent="0.25">
      <c r="A142" s="11">
        <f>'DA - 58'!C146</f>
        <v>515</v>
      </c>
      <c r="B142" s="11">
        <f>'DA - 58'!D146</f>
        <v>485</v>
      </c>
      <c r="C142" s="11">
        <f>'DA - 58'!E146</f>
        <v>565</v>
      </c>
      <c r="D142" s="11">
        <f>'DA - 58'!G146</f>
        <v>705</v>
      </c>
      <c r="E142" s="11" t="str">
        <f>'DA - 58'!B146</f>
        <v>Frame: 58 ----- Stem: 100x30  ----- Aluminium Aerobar + 40 + bridge + 10 + 5</v>
      </c>
      <c r="F142" s="11" t="str">
        <f t="shared" si="30"/>
        <v/>
      </c>
      <c r="G142" s="11" t="str">
        <f t="shared" si="31"/>
        <v/>
      </c>
      <c r="H142" s="11">
        <f t="shared" si="32"/>
        <v>1</v>
      </c>
      <c r="I142" s="11">
        <f t="shared" si="33"/>
        <v>-45</v>
      </c>
      <c r="J142" s="11">
        <v>1</v>
      </c>
      <c r="K142" s="11">
        <f t="shared" si="34"/>
        <v>1</v>
      </c>
      <c r="L142" s="11" t="str">
        <f>'DA - 58'!H146</f>
        <v xml:space="preserve">Aerobar Bolts: Top 35mm; Bottom 25mm </v>
      </c>
      <c r="M142" s="11" t="s">
        <v>11</v>
      </c>
    </row>
    <row r="143" spans="1:13" x14ac:dyDescent="0.25">
      <c r="A143" s="11">
        <f>'DA - 58'!C147</f>
        <v>505</v>
      </c>
      <c r="B143" s="11">
        <f>'DA - 58'!D147</f>
        <v>475</v>
      </c>
      <c r="C143" s="11">
        <f>'DA - 58'!E147</f>
        <v>555</v>
      </c>
      <c r="D143" s="11">
        <f>'DA - 58'!G147</f>
        <v>675</v>
      </c>
      <c r="E143" s="11" t="str">
        <f>'DA - 58'!B147</f>
        <v>Frame: 58 ----- Stem: 100x60  ----- Aluminium Aerobar</v>
      </c>
      <c r="F143" s="11" t="str">
        <f t="shared" si="30"/>
        <v/>
      </c>
      <c r="G143" s="11" t="str">
        <f t="shared" si="31"/>
        <v/>
      </c>
      <c r="H143" s="11" t="str">
        <f t="shared" si="32"/>
        <v/>
      </c>
      <c r="I143" s="11">
        <f t="shared" si="33"/>
        <v>-35</v>
      </c>
      <c r="J143" s="11">
        <v>1</v>
      </c>
      <c r="K143" s="11">
        <f t="shared" si="34"/>
        <v>1</v>
      </c>
      <c r="L143" s="11" t="str">
        <f>'DA - 58'!H147</f>
        <v xml:space="preserve">Aerobar Bolts: Top 20mm; Bottom N/A </v>
      </c>
      <c r="M143" s="11" t="s">
        <v>11</v>
      </c>
    </row>
    <row r="144" spans="1:13" x14ac:dyDescent="0.25">
      <c r="A144" s="11">
        <f>'DA - 58'!C148</f>
        <v>505</v>
      </c>
      <c r="B144" s="11">
        <f>'DA - 58'!D148</f>
        <v>475</v>
      </c>
      <c r="C144" s="11">
        <f>'DA - 58'!E148</f>
        <v>555</v>
      </c>
      <c r="D144" s="11">
        <f>'DA - 58'!G148</f>
        <v>680</v>
      </c>
      <c r="E144" s="11" t="str">
        <f>'DA - 58'!B148</f>
        <v>Frame: 58 ----- Stem: 100x60  ----- Aluminium Aerobar + 5</v>
      </c>
      <c r="F144" s="11" t="str">
        <f t="shared" si="30"/>
        <v/>
      </c>
      <c r="G144" s="11" t="str">
        <f t="shared" si="31"/>
        <v/>
      </c>
      <c r="H144" s="11" t="str">
        <f t="shared" si="32"/>
        <v/>
      </c>
      <c r="I144" s="11">
        <f t="shared" si="33"/>
        <v>-35</v>
      </c>
      <c r="J144" s="11">
        <v>1</v>
      </c>
      <c r="K144" s="11">
        <f t="shared" si="34"/>
        <v>1</v>
      </c>
      <c r="L144" s="11" t="str">
        <f>'DA - 58'!H148</f>
        <v xml:space="preserve">Aerobar Bolts: Top 25mm; Bottom N/A </v>
      </c>
      <c r="M144" s="11" t="s">
        <v>11</v>
      </c>
    </row>
    <row r="145" spans="1:13" x14ac:dyDescent="0.25">
      <c r="A145" s="11">
        <f>'DA - 58'!C149</f>
        <v>505</v>
      </c>
      <c r="B145" s="11">
        <f>'DA - 58'!D149</f>
        <v>475</v>
      </c>
      <c r="C145" s="11">
        <f>'DA - 58'!E149</f>
        <v>555</v>
      </c>
      <c r="D145" s="11">
        <f>'DA - 58'!G149</f>
        <v>685</v>
      </c>
      <c r="E145" s="11" t="str">
        <f>'DA - 58'!B149</f>
        <v>Frame: 58 ----- Stem: 100x60  ----- Aluminium Aerobar + 10</v>
      </c>
      <c r="F145" s="11" t="str">
        <f t="shared" si="30"/>
        <v/>
      </c>
      <c r="G145" s="11" t="str">
        <f t="shared" si="31"/>
        <v/>
      </c>
      <c r="H145" s="11" t="str">
        <f t="shared" si="32"/>
        <v/>
      </c>
      <c r="I145" s="11">
        <f t="shared" si="33"/>
        <v>-35</v>
      </c>
      <c r="J145" s="11">
        <v>1</v>
      </c>
      <c r="K145" s="11">
        <f t="shared" si="34"/>
        <v>1</v>
      </c>
      <c r="L145" s="11" t="str">
        <f>'DA - 58'!H149</f>
        <v xml:space="preserve">Aerobar Bolts: Top 30mm; Bottom N/A </v>
      </c>
      <c r="M145" s="11" t="s">
        <v>11</v>
      </c>
    </row>
    <row r="146" spans="1:13" x14ac:dyDescent="0.25">
      <c r="A146" s="11">
        <f>'DA - 58'!C150</f>
        <v>505</v>
      </c>
      <c r="B146" s="11">
        <f>'DA - 58'!D150</f>
        <v>475</v>
      </c>
      <c r="C146" s="11">
        <f>'DA - 58'!E150</f>
        <v>555</v>
      </c>
      <c r="D146" s="11">
        <f>'DA - 58'!G150</f>
        <v>690</v>
      </c>
      <c r="E146" s="11" t="str">
        <f>'DA - 58'!B150</f>
        <v>Frame: 58 ----- Stem: 100x60  ----- Aluminium Aerobar + 5 + 10</v>
      </c>
      <c r="F146" s="11" t="str">
        <f t="shared" si="30"/>
        <v/>
      </c>
      <c r="G146" s="11" t="str">
        <f t="shared" si="31"/>
        <v/>
      </c>
      <c r="H146" s="11" t="str">
        <f t="shared" si="32"/>
        <v/>
      </c>
      <c r="I146" s="11">
        <f t="shared" si="33"/>
        <v>-35</v>
      </c>
      <c r="J146" s="11">
        <v>1</v>
      </c>
      <c r="K146" s="11">
        <f t="shared" si="34"/>
        <v>1</v>
      </c>
      <c r="L146" s="11" t="str">
        <f>'DA - 58'!H150</f>
        <v xml:space="preserve">Aerobar Bolts: Top 35mm; Bottom N/A </v>
      </c>
      <c r="M146" s="11" t="s">
        <v>11</v>
      </c>
    </row>
    <row r="147" spans="1:13" x14ac:dyDescent="0.25">
      <c r="A147" s="11">
        <f>'DA - 58'!C151</f>
        <v>505</v>
      </c>
      <c r="B147" s="11">
        <f>'DA - 58'!D151</f>
        <v>475</v>
      </c>
      <c r="C147" s="11">
        <f>'DA - 58'!E151</f>
        <v>555</v>
      </c>
      <c r="D147" s="11">
        <f>'DA - 58'!G151</f>
        <v>695</v>
      </c>
      <c r="E147" s="11" t="str">
        <f>'DA - 58'!B151</f>
        <v>Frame: 58 ----- Stem: 100x60  ----- Aluminium Aerobar + 20</v>
      </c>
      <c r="F147" s="11" t="str">
        <f>IF(AND($F$5&gt;=B147,$F$5&lt;=C147),1,"")</f>
        <v/>
      </c>
      <c r="G147" s="11" t="str">
        <f t="shared" si="31"/>
        <v/>
      </c>
      <c r="H147" s="11" t="str">
        <f t="shared" si="32"/>
        <v/>
      </c>
      <c r="I147" s="11">
        <f t="shared" si="33"/>
        <v>-35</v>
      </c>
      <c r="J147" s="11">
        <v>1</v>
      </c>
      <c r="K147" s="11">
        <f t="shared" si="34"/>
        <v>1</v>
      </c>
      <c r="L147" s="11" t="str">
        <f>'DA - 58'!H151</f>
        <v xml:space="preserve">Aerobar Bolts: Top 20mm; Bottom 15mm </v>
      </c>
      <c r="M147" s="11" t="s">
        <v>11</v>
      </c>
    </row>
    <row r="148" spans="1:13" x14ac:dyDescent="0.25">
      <c r="A148" s="11">
        <f>'DA - 58'!C152</f>
        <v>505</v>
      </c>
      <c r="B148" s="11">
        <f>'DA - 58'!D152</f>
        <v>475</v>
      </c>
      <c r="C148" s="11">
        <f>'DA - 58'!E152</f>
        <v>555</v>
      </c>
      <c r="D148" s="11">
        <f>'DA - 58'!G152</f>
        <v>700</v>
      </c>
      <c r="E148" s="11" t="str">
        <f>'DA - 58'!B152</f>
        <v>Frame: 58 ----- Stem: 100x60  ----- Aluminium Aerobar + 20 + 5</v>
      </c>
      <c r="F148" s="11" t="str">
        <f t="shared" si="30"/>
        <v/>
      </c>
      <c r="G148" s="11" t="str">
        <f t="shared" si="31"/>
        <v/>
      </c>
      <c r="H148" s="11" t="str">
        <f t="shared" si="32"/>
        <v/>
      </c>
      <c r="I148" s="11">
        <f t="shared" si="33"/>
        <v>-35</v>
      </c>
      <c r="J148" s="11">
        <v>1</v>
      </c>
      <c r="K148" s="11">
        <f t="shared" si="34"/>
        <v>1</v>
      </c>
      <c r="L148" s="11" t="str">
        <f>'DA - 58'!H152</f>
        <v xml:space="preserve">Aerobar Bolts: Top 25mm; Bottom 15mm </v>
      </c>
      <c r="M148" s="11" t="s">
        <v>11</v>
      </c>
    </row>
    <row r="149" spans="1:13" x14ac:dyDescent="0.25">
      <c r="A149" s="11">
        <f>'DA - 58'!C153</f>
        <v>505</v>
      </c>
      <c r="B149" s="11">
        <f>'DA - 58'!D153</f>
        <v>475</v>
      </c>
      <c r="C149" s="11">
        <f>'DA - 58'!E153</f>
        <v>555</v>
      </c>
      <c r="D149" s="11">
        <f>'DA - 58'!G153</f>
        <v>700</v>
      </c>
      <c r="E149" s="11" t="str">
        <f>'DA - 58'!B153</f>
        <v>Frame: 58 ----- Stem: 100x60  ----- Aluminium Aerobar + 20 + bridge</v>
      </c>
      <c r="F149" s="11" t="str">
        <f t="shared" si="30"/>
        <v/>
      </c>
      <c r="G149" s="11" t="str">
        <f t="shared" si="31"/>
        <v/>
      </c>
      <c r="H149" s="11" t="str">
        <f t="shared" si="32"/>
        <v/>
      </c>
      <c r="I149" s="11">
        <f t="shared" si="33"/>
        <v>-35</v>
      </c>
      <c r="J149" s="11">
        <v>1</v>
      </c>
      <c r="K149" s="11">
        <f t="shared" si="34"/>
        <v>1</v>
      </c>
      <c r="L149" s="11" t="str">
        <f>'DA - 58'!H153</f>
        <v xml:space="preserve">Aerobar Bolts: Top 25mm; Bottom 15mm </v>
      </c>
      <c r="M149" s="11" t="s">
        <v>11</v>
      </c>
    </row>
    <row r="150" spans="1:13" x14ac:dyDescent="0.25">
      <c r="A150" s="11">
        <f>'DA - 58'!C154</f>
        <v>505</v>
      </c>
      <c r="B150" s="11">
        <f>'DA - 58'!D154</f>
        <v>475</v>
      </c>
      <c r="C150" s="11">
        <f>'DA - 58'!E154</f>
        <v>555</v>
      </c>
      <c r="D150" s="11">
        <f>'DA - 58'!G154</f>
        <v>705</v>
      </c>
      <c r="E150" s="11" t="str">
        <f>'DA - 58'!B154</f>
        <v>Frame: 58 ----- Stem: 100x60  ----- Aluminium Aerobar + 30</v>
      </c>
      <c r="F150" s="11" t="str">
        <f t="shared" si="30"/>
        <v/>
      </c>
      <c r="G150" s="11">
        <f t="shared" si="31"/>
        <v>1</v>
      </c>
      <c r="H150" s="11" t="str">
        <f t="shared" si="32"/>
        <v/>
      </c>
      <c r="I150" s="11">
        <f t="shared" si="33"/>
        <v>-35</v>
      </c>
      <c r="J150" s="11">
        <v>1</v>
      </c>
      <c r="K150" s="11">
        <f t="shared" si="34"/>
        <v>1</v>
      </c>
      <c r="L150" s="11" t="str">
        <f>'DA - 58'!H154</f>
        <v xml:space="preserve">Aerobar Bolts: Top 25mm; Bottom 15mm </v>
      </c>
      <c r="M150" s="11" t="s">
        <v>11</v>
      </c>
    </row>
    <row r="151" spans="1:13" x14ac:dyDescent="0.25">
      <c r="A151" s="11">
        <f>'DA - 58'!C155</f>
        <v>505</v>
      </c>
      <c r="B151" s="11">
        <f>'DA - 58'!D155</f>
        <v>475</v>
      </c>
      <c r="C151" s="11">
        <f>'DA - 58'!E155</f>
        <v>555</v>
      </c>
      <c r="D151" s="11">
        <f>'DA - 58'!G155</f>
        <v>705</v>
      </c>
      <c r="E151" s="11" t="str">
        <f>'DA - 58'!B155</f>
        <v>Frame: 58 ----- Stem: 100x60  ----- Aluminium Aerobar + 20 + bridge + 5</v>
      </c>
      <c r="F151" s="11" t="str">
        <f t="shared" si="30"/>
        <v/>
      </c>
      <c r="G151" s="11" t="str">
        <f t="shared" si="31"/>
        <v/>
      </c>
      <c r="H151" s="11" t="str">
        <f t="shared" si="32"/>
        <v/>
      </c>
      <c r="I151" s="11">
        <f t="shared" si="33"/>
        <v>-35</v>
      </c>
      <c r="J151" s="11">
        <v>1</v>
      </c>
      <c r="K151" s="11">
        <f t="shared" si="34"/>
        <v>1</v>
      </c>
      <c r="L151" s="11" t="str">
        <f>'DA - 58'!H155</f>
        <v xml:space="preserve">Aerobar Bolts: Top 25mm; Bottom 15mm </v>
      </c>
      <c r="M151" s="11" t="s">
        <v>11</v>
      </c>
    </row>
    <row r="152" spans="1:13" x14ac:dyDescent="0.25">
      <c r="A152" s="11">
        <f>'DA - 58'!C156</f>
        <v>505</v>
      </c>
      <c r="B152" s="11">
        <f>'DA - 58'!D156</f>
        <v>475</v>
      </c>
      <c r="C152" s="11">
        <f>'DA - 58'!E156</f>
        <v>555</v>
      </c>
      <c r="D152" s="11">
        <f>'DA - 58'!G156</f>
        <v>710</v>
      </c>
      <c r="E152" s="11" t="str">
        <f>'DA - 58'!B156</f>
        <v>Frame: 58 ----- Stem: 100x60  ----- Aluminium Aerobar + 30 + bridge</v>
      </c>
      <c r="F152" s="11" t="str">
        <f t="shared" si="30"/>
        <v/>
      </c>
      <c r="G152" s="11">
        <f t="shared" si="31"/>
        <v>1</v>
      </c>
      <c r="H152" s="11" t="str">
        <f t="shared" si="32"/>
        <v/>
      </c>
      <c r="I152" s="11">
        <f t="shared" si="33"/>
        <v>-35</v>
      </c>
      <c r="J152" s="11">
        <v>1</v>
      </c>
      <c r="K152" s="11">
        <f t="shared" si="34"/>
        <v>1</v>
      </c>
      <c r="L152" s="11" t="str">
        <f>'DA - 58'!H156</f>
        <v xml:space="preserve">Aerobar Bolts: Top 30mm; Bottom 15mm </v>
      </c>
      <c r="M152" s="11" t="s">
        <v>11</v>
      </c>
    </row>
    <row r="153" spans="1:13" x14ac:dyDescent="0.25">
      <c r="A153" s="11">
        <f>'DA - 58'!C157</f>
        <v>505</v>
      </c>
      <c r="B153" s="11">
        <f>'DA - 58'!D157</f>
        <v>475</v>
      </c>
      <c r="C153" s="11">
        <f>'DA - 58'!E157</f>
        <v>555</v>
      </c>
      <c r="D153" s="11">
        <f>'DA - 58'!G157</f>
        <v>715</v>
      </c>
      <c r="E153" s="11" t="str">
        <f>'DA - 58'!B157</f>
        <v>Frame: 58 ----- Stem: 100x60  ----- Aluminium Aerobar + 30 + bridge + 5</v>
      </c>
      <c r="F153" s="11" t="str">
        <f t="shared" si="30"/>
        <v/>
      </c>
      <c r="G153" s="11">
        <f t="shared" si="31"/>
        <v>1</v>
      </c>
      <c r="H153" s="11" t="str">
        <f t="shared" si="32"/>
        <v/>
      </c>
      <c r="I153" s="11">
        <f t="shared" si="33"/>
        <v>-35</v>
      </c>
      <c r="J153" s="11">
        <v>1</v>
      </c>
      <c r="K153" s="11">
        <f t="shared" si="34"/>
        <v>1</v>
      </c>
      <c r="L153" s="11" t="str">
        <f>'DA - 58'!H157</f>
        <v xml:space="preserve">Aerobar Bolts: Top 30mm; Bottom 15mm </v>
      </c>
      <c r="M153" s="11" t="s">
        <v>11</v>
      </c>
    </row>
    <row r="154" spans="1:13" x14ac:dyDescent="0.25">
      <c r="A154" s="11">
        <f>'DA - 58'!C158</f>
        <v>505</v>
      </c>
      <c r="B154" s="11">
        <f>'DA - 58'!D158</f>
        <v>475</v>
      </c>
      <c r="C154" s="11">
        <f>'DA - 58'!E158</f>
        <v>555</v>
      </c>
      <c r="D154" s="11">
        <f>'DA - 58'!G158</f>
        <v>720</v>
      </c>
      <c r="E154" s="11" t="str">
        <f>'DA - 58'!B158</f>
        <v>Frame: 58 ----- Stem: 100x60  ----- Aluminium Aerobar + 40 + bridge</v>
      </c>
      <c r="F154" s="11" t="str">
        <f t="shared" si="30"/>
        <v/>
      </c>
      <c r="G154" s="11" t="str">
        <f t="shared" si="31"/>
        <v/>
      </c>
      <c r="H154" s="11">
        <f t="shared" si="32"/>
        <v>1</v>
      </c>
      <c r="I154" s="11">
        <f t="shared" si="33"/>
        <v>-35</v>
      </c>
      <c r="J154" s="11">
        <v>1</v>
      </c>
      <c r="K154" s="11">
        <f t="shared" si="34"/>
        <v>1</v>
      </c>
      <c r="L154" s="11" t="str">
        <f>'DA - 58'!H158</f>
        <v xml:space="preserve">Aerobar Bolts: Top 35mm; Bottom 15mm </v>
      </c>
      <c r="M154" s="11" t="s">
        <v>11</v>
      </c>
    </row>
    <row r="155" spans="1:13" x14ac:dyDescent="0.25">
      <c r="A155" s="11">
        <f>'DA - 58'!C159</f>
        <v>505</v>
      </c>
      <c r="B155" s="11">
        <f>'DA - 58'!D159</f>
        <v>475</v>
      </c>
      <c r="C155" s="11">
        <f>'DA - 58'!E159</f>
        <v>555</v>
      </c>
      <c r="D155" s="11">
        <f>'DA - 58'!G159</f>
        <v>725</v>
      </c>
      <c r="E155" s="11" t="str">
        <f>'DA - 58'!B159</f>
        <v>Frame: 58 ----- Stem: 100x60  ----- Aluminium Aerobar + 40 + bridge + 5</v>
      </c>
      <c r="F155" s="11" t="str">
        <f t="shared" si="30"/>
        <v/>
      </c>
      <c r="G155" s="11" t="str">
        <f t="shared" si="31"/>
        <v/>
      </c>
      <c r="H155" s="11">
        <f t="shared" si="32"/>
        <v>1</v>
      </c>
      <c r="I155" s="11">
        <f t="shared" si="33"/>
        <v>-35</v>
      </c>
      <c r="J155" s="11">
        <v>1</v>
      </c>
      <c r="K155" s="11">
        <f t="shared" si="34"/>
        <v>1</v>
      </c>
      <c r="L155" s="11" t="str">
        <f>'DA - 58'!H159</f>
        <v xml:space="preserve">Aerobar Bolts: Top 35mm; Bottom 15mm </v>
      </c>
      <c r="M155" s="11" t="s">
        <v>11</v>
      </c>
    </row>
    <row r="156" spans="1:13" x14ac:dyDescent="0.25">
      <c r="A156" s="11">
        <f>'DA - 58'!C160</f>
        <v>505</v>
      </c>
      <c r="B156" s="11">
        <f>'DA - 58'!D160</f>
        <v>475</v>
      </c>
      <c r="C156" s="11">
        <f>'DA - 58'!E160</f>
        <v>555</v>
      </c>
      <c r="D156" s="11">
        <f>'DA - 58'!G160</f>
        <v>730</v>
      </c>
      <c r="E156" s="11" t="str">
        <f>'DA - 58'!B160</f>
        <v>Frame: 58 ----- Stem: 100x60  ----- Aluminium Aerobar + 40 + bridge + 10</v>
      </c>
      <c r="F156" s="11" t="str">
        <f t="shared" si="30"/>
        <v/>
      </c>
      <c r="G156" s="11" t="str">
        <f t="shared" si="31"/>
        <v/>
      </c>
      <c r="H156" s="11">
        <f t="shared" si="32"/>
        <v>1</v>
      </c>
      <c r="I156" s="11">
        <f t="shared" si="33"/>
        <v>-35</v>
      </c>
      <c r="J156" s="11">
        <v>1</v>
      </c>
      <c r="K156" s="11">
        <f t="shared" si="34"/>
        <v>1</v>
      </c>
      <c r="L156" s="11" t="str">
        <f>'DA - 58'!H160</f>
        <v xml:space="preserve">Aerobar Bolts: Top 35mm; Bottom 15mm </v>
      </c>
      <c r="M156" s="11" t="s">
        <v>11</v>
      </c>
    </row>
    <row r="157" spans="1:13" x14ac:dyDescent="0.25">
      <c r="A157" s="11">
        <f>'DA - 58'!C161</f>
        <v>505</v>
      </c>
      <c r="B157" s="11">
        <f>'DA - 58'!D161</f>
        <v>475</v>
      </c>
      <c r="C157" s="11">
        <f>'DA - 58'!E161</f>
        <v>555</v>
      </c>
      <c r="D157" s="11">
        <f>'DA - 58'!G161</f>
        <v>735</v>
      </c>
      <c r="E157" s="11" t="str">
        <f>'DA - 58'!B161</f>
        <v>Frame: 58 ----- Stem: 100x60  ----- Aluminium Aerobar + 40 + bridge + 10 + 5</v>
      </c>
      <c r="F157" s="11" t="str">
        <f t="shared" si="30"/>
        <v/>
      </c>
      <c r="G157" s="11" t="str">
        <f t="shared" si="31"/>
        <v/>
      </c>
      <c r="H157" s="11">
        <f t="shared" si="32"/>
        <v>1</v>
      </c>
      <c r="I157" s="11">
        <f t="shared" si="33"/>
        <v>-35</v>
      </c>
      <c r="J157" s="11">
        <v>1</v>
      </c>
      <c r="K157" s="11">
        <f t="shared" si="34"/>
        <v>1</v>
      </c>
      <c r="L157" s="11" t="str">
        <f>'DA - 58'!H161</f>
        <v xml:space="preserve">Aerobar Bolts: Top 35mm; Bottom 25mm </v>
      </c>
      <c r="M157" s="11" t="s">
        <v>11</v>
      </c>
    </row>
    <row r="158" spans="1:13" x14ac:dyDescent="0.25">
      <c r="A158" s="11">
        <f>'DA - 58'!C162</f>
        <v>510</v>
      </c>
      <c r="B158" s="11">
        <f>'DA - 58'!D162</f>
        <v>480</v>
      </c>
      <c r="C158" s="11">
        <f>'DA - 58'!E162</f>
        <v>560</v>
      </c>
      <c r="D158" s="11">
        <f>'DA - 58'!G162</f>
        <v>615</v>
      </c>
      <c r="E158" s="11" t="str">
        <f>'DA - 58'!B162</f>
        <v>Frame: 58 ----- Stem: 90x0  ----- Aluminium Aerobar</v>
      </c>
      <c r="F158" s="11" t="str">
        <f t="shared" si="30"/>
        <v/>
      </c>
      <c r="G158" s="11" t="str">
        <f t="shared" si="31"/>
        <v/>
      </c>
      <c r="H158" s="11" t="str">
        <f t="shared" si="32"/>
        <v/>
      </c>
      <c r="I158" s="11">
        <f t="shared" si="33"/>
        <v>-40</v>
      </c>
      <c r="J158" s="11">
        <v>1</v>
      </c>
      <c r="K158" s="11">
        <f t="shared" si="34"/>
        <v>1</v>
      </c>
      <c r="L158" s="11" t="str">
        <f>'DA - 58'!H162</f>
        <v xml:space="preserve">Aerobar Bolts: Top 20mm; Bottom N/A </v>
      </c>
      <c r="M158" s="11" t="s">
        <v>11</v>
      </c>
    </row>
    <row r="159" spans="1:13" x14ac:dyDescent="0.25">
      <c r="A159" s="11">
        <f>'DA - 58'!C163</f>
        <v>510</v>
      </c>
      <c r="B159" s="11">
        <f>'DA - 58'!D163</f>
        <v>480</v>
      </c>
      <c r="C159" s="11">
        <f>'DA - 58'!E163</f>
        <v>560</v>
      </c>
      <c r="D159" s="11">
        <f>'DA - 58'!G163</f>
        <v>620</v>
      </c>
      <c r="E159" s="11" t="str">
        <f>'DA - 58'!B163</f>
        <v>Frame: 58 ----- Stem: 90x0  ----- Aluminium Aerobar + 5</v>
      </c>
      <c r="F159" s="11" t="str">
        <f t="shared" si="30"/>
        <v/>
      </c>
      <c r="G159" s="11" t="str">
        <f t="shared" si="31"/>
        <v/>
      </c>
      <c r="H159" s="11" t="str">
        <f t="shared" si="32"/>
        <v/>
      </c>
      <c r="I159" s="11">
        <f t="shared" si="33"/>
        <v>-40</v>
      </c>
      <c r="J159" s="11">
        <v>1</v>
      </c>
      <c r="K159" s="11">
        <f t="shared" si="34"/>
        <v>1</v>
      </c>
      <c r="L159" s="11" t="str">
        <f>'DA - 58'!H163</f>
        <v xml:space="preserve">Aerobar Bolts: Top 25mm; Bottom N/A </v>
      </c>
      <c r="M159" s="11" t="s">
        <v>11</v>
      </c>
    </row>
    <row r="160" spans="1:13" x14ac:dyDescent="0.25">
      <c r="A160" s="11">
        <f>'DA - 58'!C164</f>
        <v>510</v>
      </c>
      <c r="B160" s="11">
        <f>'DA - 58'!D164</f>
        <v>480</v>
      </c>
      <c r="C160" s="11">
        <f>'DA - 58'!E164</f>
        <v>560</v>
      </c>
      <c r="D160" s="11">
        <f>'DA - 58'!G164</f>
        <v>625</v>
      </c>
      <c r="E160" s="11" t="str">
        <f>'DA - 58'!B164</f>
        <v>Frame: 58 ----- Stem: 90x0  ----- Aluminium Aerobar + 10</v>
      </c>
      <c r="F160" s="11" t="str">
        <f t="shared" si="30"/>
        <v/>
      </c>
      <c r="G160" s="11" t="str">
        <f t="shared" si="31"/>
        <v/>
      </c>
      <c r="H160" s="11" t="str">
        <f t="shared" si="32"/>
        <v/>
      </c>
      <c r="I160" s="11">
        <f t="shared" si="33"/>
        <v>-40</v>
      </c>
      <c r="J160" s="11">
        <v>1</v>
      </c>
      <c r="K160" s="11">
        <f t="shared" si="34"/>
        <v>1</v>
      </c>
      <c r="L160" s="11" t="str">
        <f>'DA - 58'!H164</f>
        <v xml:space="preserve">Aerobar Bolts: Top 30mm; Bottom N/A </v>
      </c>
      <c r="M160" s="11" t="s">
        <v>11</v>
      </c>
    </row>
    <row r="161" spans="1:13" x14ac:dyDescent="0.25">
      <c r="A161" s="11">
        <f>'DA - 58'!C165</f>
        <v>510</v>
      </c>
      <c r="B161" s="11">
        <f>'DA - 58'!D165</f>
        <v>480</v>
      </c>
      <c r="C161" s="11">
        <f>'DA - 58'!E165</f>
        <v>560</v>
      </c>
      <c r="D161" s="11">
        <f>'DA - 58'!G165</f>
        <v>630</v>
      </c>
      <c r="E161" s="11" t="str">
        <f>'DA - 58'!B165</f>
        <v>Frame: 58 ----- Stem: 90x0  ----- Aluminium Aerobar + 5 + 10</v>
      </c>
      <c r="F161" s="11" t="str">
        <f t="shared" si="30"/>
        <v/>
      </c>
      <c r="G161" s="11" t="str">
        <f t="shared" si="31"/>
        <v/>
      </c>
      <c r="H161" s="11" t="str">
        <f t="shared" si="32"/>
        <v/>
      </c>
      <c r="I161" s="11">
        <f t="shared" si="33"/>
        <v>-40</v>
      </c>
      <c r="J161" s="11">
        <v>1</v>
      </c>
      <c r="K161" s="11">
        <f t="shared" si="34"/>
        <v>1</v>
      </c>
      <c r="L161" s="11" t="str">
        <f>'DA - 58'!H165</f>
        <v xml:space="preserve">Aerobar Bolts: Top 35mm; Bottom N/A </v>
      </c>
      <c r="M161" s="11" t="s">
        <v>11</v>
      </c>
    </row>
    <row r="162" spans="1:13" x14ac:dyDescent="0.25">
      <c r="A162" s="11">
        <f>'DA - 58'!C166</f>
        <v>510</v>
      </c>
      <c r="B162" s="11">
        <f>'DA - 58'!D166</f>
        <v>480</v>
      </c>
      <c r="C162" s="11">
        <f>'DA - 58'!E166</f>
        <v>560</v>
      </c>
      <c r="D162" s="11">
        <f>'DA - 58'!G166</f>
        <v>635</v>
      </c>
      <c r="E162" s="11" t="str">
        <f>'DA - 58'!B166</f>
        <v>Frame: 58 ----- Stem: 90x0  ----- Aluminium Aerobar + 20</v>
      </c>
      <c r="F162" s="11" t="str">
        <f t="shared" si="30"/>
        <v/>
      </c>
      <c r="G162" s="11" t="str">
        <f t="shared" si="31"/>
        <v/>
      </c>
      <c r="H162" s="11" t="str">
        <f t="shared" si="32"/>
        <v/>
      </c>
      <c r="I162" s="11">
        <f t="shared" si="33"/>
        <v>-40</v>
      </c>
      <c r="J162" s="11">
        <v>1</v>
      </c>
      <c r="K162" s="11">
        <f t="shared" si="34"/>
        <v>1</v>
      </c>
      <c r="L162" s="11" t="str">
        <f>'DA - 58'!H166</f>
        <v xml:space="preserve">Aerobar Bolts: Top 20mm; Bottom 15mm </v>
      </c>
      <c r="M162" s="11" t="s">
        <v>11</v>
      </c>
    </row>
    <row r="163" spans="1:13" x14ac:dyDescent="0.25">
      <c r="A163" s="11">
        <f>'DA - 58'!C167</f>
        <v>510</v>
      </c>
      <c r="B163" s="11">
        <f>'DA - 58'!D167</f>
        <v>480</v>
      </c>
      <c r="C163" s="11">
        <f>'DA - 58'!E167</f>
        <v>560</v>
      </c>
      <c r="D163" s="11">
        <f>'DA - 58'!G167</f>
        <v>640</v>
      </c>
      <c r="E163" s="11" t="str">
        <f>'DA - 58'!B167</f>
        <v>Frame: 58 ----- Stem: 90x0  ----- Aluminium Aerobar + 20 + 5</v>
      </c>
      <c r="F163" s="11" t="str">
        <f t="shared" si="30"/>
        <v/>
      </c>
      <c r="G163" s="11" t="str">
        <f t="shared" si="31"/>
        <v/>
      </c>
      <c r="H163" s="11" t="str">
        <f t="shared" si="32"/>
        <v/>
      </c>
      <c r="I163" s="11">
        <f t="shared" si="33"/>
        <v>-40</v>
      </c>
      <c r="J163" s="11">
        <v>1</v>
      </c>
      <c r="K163" s="11">
        <f t="shared" si="34"/>
        <v>1</v>
      </c>
      <c r="L163" s="11" t="str">
        <f>'DA - 58'!H167</f>
        <v xml:space="preserve">Aerobar Bolts: Top 25mm; Bottom 15mm </v>
      </c>
      <c r="M163" s="11" t="s">
        <v>11</v>
      </c>
    </row>
    <row r="164" spans="1:13" x14ac:dyDescent="0.25">
      <c r="A164" s="11">
        <f>'DA - 58'!C168</f>
        <v>510</v>
      </c>
      <c r="B164" s="11">
        <f>'DA - 58'!D168</f>
        <v>480</v>
      </c>
      <c r="C164" s="11">
        <f>'DA - 58'!E168</f>
        <v>560</v>
      </c>
      <c r="D164" s="11">
        <f>'DA - 58'!G168</f>
        <v>640</v>
      </c>
      <c r="E164" s="11" t="str">
        <f>'DA - 58'!B168</f>
        <v>Frame: 58 ----- Stem: 90x0  ----- Aluminium Aerobar + 20 + bridge</v>
      </c>
      <c r="F164" s="11" t="str">
        <f t="shared" si="30"/>
        <v/>
      </c>
      <c r="G164" s="11" t="str">
        <f t="shared" si="31"/>
        <v/>
      </c>
      <c r="H164" s="11" t="str">
        <f t="shared" si="32"/>
        <v/>
      </c>
      <c r="I164" s="11">
        <f t="shared" si="33"/>
        <v>-40</v>
      </c>
      <c r="J164" s="11">
        <v>1</v>
      </c>
      <c r="K164" s="11">
        <f t="shared" si="34"/>
        <v>1</v>
      </c>
      <c r="L164" s="11" t="str">
        <f>'DA - 58'!H168</f>
        <v xml:space="preserve">Aerobar Bolts: Top 25mm; Bottom 15mm </v>
      </c>
      <c r="M164" s="11" t="s">
        <v>11</v>
      </c>
    </row>
    <row r="165" spans="1:13" x14ac:dyDescent="0.25">
      <c r="A165" s="11">
        <f>'DA - 58'!C169</f>
        <v>510</v>
      </c>
      <c r="B165" s="11">
        <f>'DA - 58'!D169</f>
        <v>480</v>
      </c>
      <c r="C165" s="11">
        <f>'DA - 58'!E169</f>
        <v>560</v>
      </c>
      <c r="D165" s="11">
        <f>'DA - 58'!G169</f>
        <v>645</v>
      </c>
      <c r="E165" s="11" t="str">
        <f>'DA - 58'!B169</f>
        <v>Frame: 58 ----- Stem: 90x0  ----- Aluminium Aerobar + 30</v>
      </c>
      <c r="F165" s="11" t="str">
        <f t="shared" si="30"/>
        <v/>
      </c>
      <c r="G165" s="11">
        <f t="shared" si="31"/>
        <v>1</v>
      </c>
      <c r="H165" s="11" t="str">
        <f t="shared" si="32"/>
        <v/>
      </c>
      <c r="I165" s="11">
        <f t="shared" si="33"/>
        <v>-40</v>
      </c>
      <c r="J165" s="11">
        <v>1</v>
      </c>
      <c r="K165" s="11">
        <f t="shared" si="34"/>
        <v>1</v>
      </c>
      <c r="L165" s="11" t="str">
        <f>'DA - 58'!H169</f>
        <v xml:space="preserve">Aerobar Bolts: Top 25mm; Bottom 15mm </v>
      </c>
      <c r="M165" s="11" t="s">
        <v>11</v>
      </c>
    </row>
    <row r="166" spans="1:13" x14ac:dyDescent="0.25">
      <c r="A166" s="11">
        <f>'DA - 58'!C170</f>
        <v>510</v>
      </c>
      <c r="B166" s="11">
        <f>'DA - 58'!D170</f>
        <v>480</v>
      </c>
      <c r="C166" s="11">
        <f>'DA - 58'!E170</f>
        <v>560</v>
      </c>
      <c r="D166" s="11">
        <f>'DA - 58'!G170</f>
        <v>645</v>
      </c>
      <c r="E166" s="11" t="str">
        <f>'DA - 58'!B170</f>
        <v>Frame: 58 ----- Stem: 90x0  ----- Aluminium Aerobar + 20 + bridge + 5</v>
      </c>
      <c r="F166" s="11" t="str">
        <f t="shared" si="30"/>
        <v/>
      </c>
      <c r="G166" s="11" t="str">
        <f t="shared" si="31"/>
        <v/>
      </c>
      <c r="H166" s="11" t="str">
        <f t="shared" si="32"/>
        <v/>
      </c>
      <c r="I166" s="11">
        <f t="shared" si="33"/>
        <v>-40</v>
      </c>
      <c r="J166" s="11">
        <v>1</v>
      </c>
      <c r="K166" s="11">
        <f t="shared" si="34"/>
        <v>1</v>
      </c>
      <c r="L166" s="11" t="str">
        <f>'DA - 58'!H170</f>
        <v xml:space="preserve">Aerobar Bolts: Top 25mm; Bottom 15mm </v>
      </c>
      <c r="M166" s="11" t="s">
        <v>11</v>
      </c>
    </row>
    <row r="167" spans="1:13" x14ac:dyDescent="0.25">
      <c r="A167" s="11">
        <f>'DA - 58'!C171</f>
        <v>510</v>
      </c>
      <c r="B167" s="11">
        <f>'DA - 58'!D171</f>
        <v>480</v>
      </c>
      <c r="C167" s="11">
        <f>'DA - 58'!E171</f>
        <v>560</v>
      </c>
      <c r="D167" s="11">
        <f>'DA - 58'!G171</f>
        <v>650</v>
      </c>
      <c r="E167" s="11" t="str">
        <f>'DA - 58'!B171</f>
        <v>Frame: 58 ----- Stem: 90x0  ----- Aluminium Aerobar + 30 + bridge</v>
      </c>
      <c r="F167" s="11" t="str">
        <f t="shared" si="30"/>
        <v/>
      </c>
      <c r="G167" s="11">
        <f t="shared" si="31"/>
        <v>1</v>
      </c>
      <c r="H167" s="11" t="str">
        <f t="shared" si="32"/>
        <v/>
      </c>
      <c r="I167" s="11">
        <f t="shared" si="33"/>
        <v>-40</v>
      </c>
      <c r="J167" s="11">
        <v>1</v>
      </c>
      <c r="K167" s="11">
        <f t="shared" si="34"/>
        <v>1</v>
      </c>
      <c r="L167" s="11" t="str">
        <f>'DA - 58'!H171</f>
        <v xml:space="preserve">Aerobar Bolts: Top 30mm; Bottom 15mm </v>
      </c>
      <c r="M167" s="11" t="s">
        <v>11</v>
      </c>
    </row>
    <row r="168" spans="1:13" x14ac:dyDescent="0.25">
      <c r="A168" s="11">
        <f>'DA - 58'!C172</f>
        <v>510</v>
      </c>
      <c r="B168" s="11">
        <f>'DA - 58'!D172</f>
        <v>480</v>
      </c>
      <c r="C168" s="11">
        <f>'DA - 58'!E172</f>
        <v>560</v>
      </c>
      <c r="D168" s="11">
        <f>'DA - 58'!G172</f>
        <v>655</v>
      </c>
      <c r="E168" s="11" t="str">
        <f>'DA - 58'!B172</f>
        <v>Frame: 58 ----- Stem: 90x0  ----- Aluminium Aerobar + 30 + bridge + 5</v>
      </c>
      <c r="F168" s="11" t="str">
        <f t="shared" si="30"/>
        <v/>
      </c>
      <c r="G168" s="11">
        <f t="shared" si="31"/>
        <v>1</v>
      </c>
      <c r="H168" s="11" t="str">
        <f t="shared" si="32"/>
        <v/>
      </c>
      <c r="I168" s="11">
        <f t="shared" si="33"/>
        <v>-40</v>
      </c>
      <c r="J168" s="11">
        <v>1</v>
      </c>
      <c r="K168" s="11">
        <f t="shared" si="34"/>
        <v>1</v>
      </c>
      <c r="L168" s="11" t="str">
        <f>'DA - 58'!H172</f>
        <v xml:space="preserve">Aerobar Bolts: Top 30mm; Bottom 15mm </v>
      </c>
      <c r="M168" s="11" t="s">
        <v>11</v>
      </c>
    </row>
    <row r="169" spans="1:13" x14ac:dyDescent="0.25">
      <c r="A169" s="11">
        <f>'DA - 58'!C173</f>
        <v>510</v>
      </c>
      <c r="B169" s="11">
        <f>'DA - 58'!D173</f>
        <v>480</v>
      </c>
      <c r="C169" s="11">
        <f>'DA - 58'!E173</f>
        <v>560</v>
      </c>
      <c r="D169" s="11">
        <f>'DA - 58'!G173</f>
        <v>660</v>
      </c>
      <c r="E169" s="11" t="str">
        <f>'DA - 58'!B173</f>
        <v>Frame: 58 ----- Stem: 90x0  ----- Aluminium Aerobar + 40 + bridge</v>
      </c>
      <c r="F169" s="11" t="str">
        <f t="shared" si="30"/>
        <v/>
      </c>
      <c r="G169" s="11" t="str">
        <f t="shared" si="31"/>
        <v/>
      </c>
      <c r="H169" s="11">
        <f t="shared" si="32"/>
        <v>1</v>
      </c>
      <c r="I169" s="11">
        <f t="shared" si="33"/>
        <v>-40</v>
      </c>
      <c r="J169" s="11">
        <v>1</v>
      </c>
      <c r="K169" s="11">
        <f t="shared" si="34"/>
        <v>1</v>
      </c>
      <c r="L169" s="11" t="str">
        <f>'DA - 58'!H173</f>
        <v xml:space="preserve">Aerobar Bolts: Top 35mm; Bottom 15mm </v>
      </c>
      <c r="M169" s="11" t="s">
        <v>11</v>
      </c>
    </row>
    <row r="170" spans="1:13" x14ac:dyDescent="0.25">
      <c r="A170" s="11">
        <f>'DA - 58'!C174</f>
        <v>510</v>
      </c>
      <c r="B170" s="11">
        <f>'DA - 58'!D174</f>
        <v>480</v>
      </c>
      <c r="C170" s="11">
        <f>'DA - 58'!E174</f>
        <v>560</v>
      </c>
      <c r="D170" s="11">
        <f>'DA - 58'!G174</f>
        <v>665</v>
      </c>
      <c r="E170" s="11" t="str">
        <f>'DA - 58'!B174</f>
        <v>Frame: 58 ----- Stem: 90x0  ----- Aluminium Aerobar + 40 + bridge + 5</v>
      </c>
      <c r="F170" s="11" t="str">
        <f t="shared" si="30"/>
        <v/>
      </c>
      <c r="G170" s="11" t="str">
        <f t="shared" si="31"/>
        <v/>
      </c>
      <c r="H170" s="11">
        <f t="shared" si="32"/>
        <v>1</v>
      </c>
      <c r="I170" s="11">
        <f t="shared" si="33"/>
        <v>-40</v>
      </c>
      <c r="J170" s="11">
        <v>1</v>
      </c>
      <c r="K170" s="11">
        <f t="shared" si="34"/>
        <v>1</v>
      </c>
      <c r="L170" s="11" t="str">
        <f>'DA - 58'!H174</f>
        <v xml:space="preserve">Aerobar Bolts: Top 35mm; Bottom 15mm </v>
      </c>
      <c r="M170" s="11" t="s">
        <v>11</v>
      </c>
    </row>
    <row r="171" spans="1:13" x14ac:dyDescent="0.25">
      <c r="A171" s="11">
        <f>'DA - 58'!C175</f>
        <v>510</v>
      </c>
      <c r="B171" s="11">
        <f>'DA - 58'!D175</f>
        <v>480</v>
      </c>
      <c r="C171" s="11">
        <f>'DA - 58'!E175</f>
        <v>560</v>
      </c>
      <c r="D171" s="11">
        <f>'DA - 58'!G175</f>
        <v>670</v>
      </c>
      <c r="E171" s="11" t="str">
        <f>'DA - 58'!B175</f>
        <v>Frame: 58 ----- Stem: 90x0  ----- Aluminium Aerobar + 40 + bridge + 10</v>
      </c>
      <c r="F171" s="11" t="str">
        <f t="shared" si="30"/>
        <v/>
      </c>
      <c r="G171" s="11" t="str">
        <f t="shared" si="31"/>
        <v/>
      </c>
      <c r="H171" s="11">
        <f t="shared" si="32"/>
        <v>1</v>
      </c>
      <c r="I171" s="11">
        <f t="shared" si="33"/>
        <v>-40</v>
      </c>
      <c r="J171" s="11">
        <v>1</v>
      </c>
      <c r="K171" s="11">
        <f t="shared" si="34"/>
        <v>1</v>
      </c>
      <c r="L171" s="11" t="str">
        <f>'DA - 58'!H175</f>
        <v xml:space="preserve">Aerobar Bolts: Top 35mm; Bottom 15mm </v>
      </c>
      <c r="M171" s="11" t="s">
        <v>11</v>
      </c>
    </row>
    <row r="172" spans="1:13" x14ac:dyDescent="0.25">
      <c r="A172" s="11">
        <f>'DA - 58'!C176</f>
        <v>510</v>
      </c>
      <c r="B172" s="11">
        <f>'DA - 58'!D176</f>
        <v>480</v>
      </c>
      <c r="C172" s="11">
        <f>'DA - 58'!E176</f>
        <v>560</v>
      </c>
      <c r="D172" s="11">
        <f>'DA - 58'!G176</f>
        <v>675</v>
      </c>
      <c r="E172" s="11" t="str">
        <f>'DA - 58'!B176</f>
        <v>Frame: 58 ----- Stem: 90x0  ----- Aluminium Aerobar + 40 + bridge + 10 + 5</v>
      </c>
      <c r="F172" s="11" t="str">
        <f t="shared" si="30"/>
        <v/>
      </c>
      <c r="G172" s="11" t="str">
        <f t="shared" si="31"/>
        <v/>
      </c>
      <c r="H172" s="11">
        <f t="shared" si="32"/>
        <v>1</v>
      </c>
      <c r="I172" s="11">
        <f t="shared" si="33"/>
        <v>-40</v>
      </c>
      <c r="J172" s="11">
        <v>1</v>
      </c>
      <c r="K172" s="11">
        <f t="shared" si="34"/>
        <v>1</v>
      </c>
      <c r="L172" s="11" t="str">
        <f>'DA - 58'!H176</f>
        <v xml:space="preserve">Aerobar Bolts: Top 35mm; Bottom 25mm </v>
      </c>
      <c r="M172" s="11" t="s">
        <v>11</v>
      </c>
    </row>
    <row r="173" spans="1:13" x14ac:dyDescent="0.25">
      <c r="A173" s="11">
        <f>'DA - 58'!C177</f>
        <v>530</v>
      </c>
      <c r="B173" s="11">
        <f>'DA - 58'!D177</f>
        <v>500</v>
      </c>
      <c r="C173" s="11">
        <f>'DA - 58'!E177</f>
        <v>580</v>
      </c>
      <c r="D173" s="11">
        <f>'DA - 58'!G177</f>
        <v>615</v>
      </c>
      <c r="E173" s="11" t="str">
        <f>'DA - 58'!B177</f>
        <v>Frame: 58 ----- Stem: 110x0  ----- Aluminium Aerobar</v>
      </c>
      <c r="F173" s="11" t="str">
        <f t="shared" si="30"/>
        <v/>
      </c>
      <c r="G173" s="11" t="str">
        <f t="shared" si="31"/>
        <v/>
      </c>
      <c r="H173" s="11" t="str">
        <f t="shared" si="32"/>
        <v/>
      </c>
      <c r="I173" s="11">
        <f t="shared" si="33"/>
        <v>-60</v>
      </c>
      <c r="J173" s="11">
        <v>1</v>
      </c>
      <c r="K173" s="11">
        <f t="shared" si="34"/>
        <v>1</v>
      </c>
      <c r="L173" s="11" t="str">
        <f>'DA - 58'!H177</f>
        <v xml:space="preserve">Aerobar Bolts: Top 20mm; Bottom N/A </v>
      </c>
      <c r="M173" s="11" t="s">
        <v>11</v>
      </c>
    </row>
    <row r="174" spans="1:13" x14ac:dyDescent="0.25">
      <c r="A174" s="11">
        <f>'DA - 58'!C178</f>
        <v>530</v>
      </c>
      <c r="B174" s="11">
        <f>'DA - 58'!D178</f>
        <v>500</v>
      </c>
      <c r="C174" s="11">
        <f>'DA - 58'!E178</f>
        <v>580</v>
      </c>
      <c r="D174" s="11">
        <f>'DA - 58'!G178</f>
        <v>620</v>
      </c>
      <c r="E174" s="11" t="str">
        <f>'DA - 58'!B178</f>
        <v>Frame: 58 ----- Stem: 110x0  ----- Aluminium Aerobar + 5</v>
      </c>
      <c r="F174" s="11" t="str">
        <f t="shared" si="30"/>
        <v/>
      </c>
      <c r="G174" s="11" t="str">
        <f t="shared" si="31"/>
        <v/>
      </c>
      <c r="H174" s="11" t="str">
        <f t="shared" si="32"/>
        <v/>
      </c>
      <c r="I174" s="11">
        <f t="shared" si="33"/>
        <v>-60</v>
      </c>
      <c r="J174" s="11">
        <v>1</v>
      </c>
      <c r="K174" s="11">
        <f t="shared" si="34"/>
        <v>1</v>
      </c>
      <c r="L174" s="11" t="str">
        <f>'DA - 58'!H178</f>
        <v xml:space="preserve">Aerobar Bolts: Top 25mm; Bottom N/A </v>
      </c>
      <c r="M174" s="11" t="s">
        <v>11</v>
      </c>
    </row>
    <row r="175" spans="1:13" x14ac:dyDescent="0.25">
      <c r="A175" s="11">
        <f>'DA - 58'!C179</f>
        <v>530</v>
      </c>
      <c r="B175" s="11">
        <f>'DA - 58'!D179</f>
        <v>500</v>
      </c>
      <c r="C175" s="11">
        <f>'DA - 58'!E179</f>
        <v>580</v>
      </c>
      <c r="D175" s="11">
        <f>'DA - 58'!G179</f>
        <v>625</v>
      </c>
      <c r="E175" s="11" t="str">
        <f>'DA - 58'!B179</f>
        <v>Frame: 58 ----- Stem: 110x0  ----- Aluminium Aerobar + 10</v>
      </c>
      <c r="F175" s="11" t="str">
        <f t="shared" si="30"/>
        <v/>
      </c>
      <c r="G175" s="11" t="str">
        <f t="shared" si="31"/>
        <v/>
      </c>
      <c r="H175" s="11" t="str">
        <f t="shared" si="32"/>
        <v/>
      </c>
      <c r="I175" s="11">
        <f t="shared" si="33"/>
        <v>-60</v>
      </c>
      <c r="J175" s="11">
        <v>1</v>
      </c>
      <c r="K175" s="11">
        <f t="shared" si="34"/>
        <v>1</v>
      </c>
      <c r="L175" s="11" t="str">
        <f>'DA - 58'!H179</f>
        <v xml:space="preserve">Aerobar Bolts: Top 30mm; Bottom N/A </v>
      </c>
      <c r="M175" s="11" t="s">
        <v>11</v>
      </c>
    </row>
    <row r="176" spans="1:13" x14ac:dyDescent="0.25">
      <c r="A176" s="11">
        <f>'DA - 58'!C180</f>
        <v>530</v>
      </c>
      <c r="B176" s="11">
        <f>'DA - 58'!D180</f>
        <v>500</v>
      </c>
      <c r="C176" s="11">
        <f>'DA - 58'!E180</f>
        <v>580</v>
      </c>
      <c r="D176" s="11">
        <f>'DA - 58'!G180</f>
        <v>630</v>
      </c>
      <c r="E176" s="11" t="str">
        <f>'DA - 58'!B180</f>
        <v>Frame: 58 ----- Stem: 110x0  ----- Aluminium Aerobar + 5 + 10</v>
      </c>
      <c r="F176" s="11" t="str">
        <f t="shared" si="30"/>
        <v/>
      </c>
      <c r="G176" s="11" t="str">
        <f t="shared" si="31"/>
        <v/>
      </c>
      <c r="H176" s="11" t="str">
        <f t="shared" si="32"/>
        <v/>
      </c>
      <c r="I176" s="11">
        <f t="shared" si="33"/>
        <v>-60</v>
      </c>
      <c r="J176" s="11">
        <v>1</v>
      </c>
      <c r="K176" s="11">
        <f t="shared" si="34"/>
        <v>1</v>
      </c>
      <c r="L176" s="11" t="str">
        <f>'DA - 58'!H180</f>
        <v xml:space="preserve">Aerobar Bolts: Top 35mm; Bottom N/A </v>
      </c>
      <c r="M176" s="11" t="s">
        <v>11</v>
      </c>
    </row>
    <row r="177" spans="1:13" x14ac:dyDescent="0.25">
      <c r="A177" s="11">
        <f>'DA - 58'!C181</f>
        <v>530</v>
      </c>
      <c r="B177" s="11">
        <f>'DA - 58'!D181</f>
        <v>500</v>
      </c>
      <c r="C177" s="11">
        <f>'DA - 58'!E181</f>
        <v>580</v>
      </c>
      <c r="D177" s="11">
        <f>'DA - 58'!G181</f>
        <v>635</v>
      </c>
      <c r="E177" s="11" t="str">
        <f>'DA - 58'!B181</f>
        <v>Frame: 58 ----- Stem: 110x0  ----- Aluminium Aerobar + 20</v>
      </c>
      <c r="F177" s="11" t="str">
        <f t="shared" si="30"/>
        <v/>
      </c>
      <c r="G177" s="11" t="str">
        <f t="shared" si="31"/>
        <v/>
      </c>
      <c r="H177" s="11" t="str">
        <f t="shared" si="32"/>
        <v/>
      </c>
      <c r="I177" s="11">
        <f t="shared" si="33"/>
        <v>-60</v>
      </c>
      <c r="J177" s="11">
        <v>1</v>
      </c>
      <c r="K177" s="11">
        <f t="shared" si="34"/>
        <v>1</v>
      </c>
      <c r="L177" s="11" t="str">
        <f>'DA - 58'!H181</f>
        <v xml:space="preserve">Aerobar Bolts: Top 20mm; Bottom 15mm </v>
      </c>
      <c r="M177" s="11" t="s">
        <v>11</v>
      </c>
    </row>
    <row r="178" spans="1:13" x14ac:dyDescent="0.25">
      <c r="A178" s="11">
        <f>'DA - 58'!C182</f>
        <v>530</v>
      </c>
      <c r="B178" s="11">
        <f>'DA - 58'!D182</f>
        <v>500</v>
      </c>
      <c r="C178" s="11">
        <f>'DA - 58'!E182</f>
        <v>580</v>
      </c>
      <c r="D178" s="11">
        <f>'DA - 58'!G182</f>
        <v>640</v>
      </c>
      <c r="E178" s="11" t="str">
        <f>'DA - 58'!B182</f>
        <v>Frame: 58 ----- Stem: 110x0  ----- Aluminium Aerobar + 20 + 5</v>
      </c>
      <c r="F178" s="11" t="str">
        <f t="shared" si="30"/>
        <v/>
      </c>
      <c r="G178" s="11" t="str">
        <f t="shared" si="31"/>
        <v/>
      </c>
      <c r="H178" s="11" t="str">
        <f t="shared" si="32"/>
        <v/>
      </c>
      <c r="I178" s="11">
        <f t="shared" si="33"/>
        <v>-60</v>
      </c>
      <c r="J178" s="11">
        <v>1</v>
      </c>
      <c r="K178" s="11">
        <f t="shared" si="34"/>
        <v>1</v>
      </c>
      <c r="L178" s="11" t="str">
        <f>'DA - 58'!H182</f>
        <v xml:space="preserve">Aerobar Bolts: Top 25mm; Bottom 15mm </v>
      </c>
      <c r="M178" s="11" t="s">
        <v>11</v>
      </c>
    </row>
    <row r="179" spans="1:13" x14ac:dyDescent="0.25">
      <c r="A179" s="11">
        <f>'DA - 58'!C183</f>
        <v>530</v>
      </c>
      <c r="B179" s="11">
        <f>'DA - 58'!D183</f>
        <v>500</v>
      </c>
      <c r="C179" s="11">
        <f>'DA - 58'!E183</f>
        <v>580</v>
      </c>
      <c r="D179" s="11">
        <f>'DA - 58'!G183</f>
        <v>640</v>
      </c>
      <c r="E179" s="11" t="str">
        <f>'DA - 58'!B183</f>
        <v>Frame: 58 ----- Stem: 110x0  ----- Aluminium Aerobar + 20 + bridge</v>
      </c>
      <c r="F179" s="11" t="str">
        <f t="shared" si="30"/>
        <v/>
      </c>
      <c r="G179" s="11" t="str">
        <f t="shared" si="31"/>
        <v/>
      </c>
      <c r="H179" s="11" t="str">
        <f t="shared" si="32"/>
        <v/>
      </c>
      <c r="I179" s="11">
        <f t="shared" si="33"/>
        <v>-60</v>
      </c>
      <c r="J179" s="11">
        <v>1</v>
      </c>
      <c r="K179" s="11">
        <f t="shared" si="34"/>
        <v>1</v>
      </c>
      <c r="L179" s="11" t="str">
        <f>'DA - 58'!H183</f>
        <v xml:space="preserve">Aerobar Bolts: Top 25mm; Bottom 15mm </v>
      </c>
      <c r="M179" s="11" t="s">
        <v>11</v>
      </c>
    </row>
    <row r="180" spans="1:13" x14ac:dyDescent="0.25">
      <c r="A180" s="11">
        <f>'DA - 58'!C184</f>
        <v>530</v>
      </c>
      <c r="B180" s="11">
        <f>'DA - 58'!D184</f>
        <v>500</v>
      </c>
      <c r="C180" s="11">
        <f>'DA - 58'!E184</f>
        <v>580</v>
      </c>
      <c r="D180" s="11">
        <f>'DA - 58'!G184</f>
        <v>645</v>
      </c>
      <c r="E180" s="11" t="str">
        <f>'DA - 58'!B184</f>
        <v>Frame: 58 ----- Stem: 110x0  ----- Aluminium Aerobar + 30</v>
      </c>
      <c r="F180" s="11" t="str">
        <f t="shared" si="30"/>
        <v/>
      </c>
      <c r="G180" s="11">
        <f t="shared" si="31"/>
        <v>1</v>
      </c>
      <c r="H180" s="11" t="str">
        <f t="shared" si="32"/>
        <v/>
      </c>
      <c r="I180" s="11">
        <f t="shared" si="33"/>
        <v>-60</v>
      </c>
      <c r="J180" s="11">
        <v>1</v>
      </c>
      <c r="K180" s="11">
        <f t="shared" si="34"/>
        <v>1</v>
      </c>
      <c r="L180" s="11" t="str">
        <f>'DA - 58'!H184</f>
        <v xml:space="preserve">Aerobar Bolts: Top 25mm; Bottom 15mm </v>
      </c>
      <c r="M180" s="11" t="s">
        <v>11</v>
      </c>
    </row>
    <row r="181" spans="1:13" x14ac:dyDescent="0.25">
      <c r="A181" s="11">
        <f>'DA - 58'!C185</f>
        <v>530</v>
      </c>
      <c r="B181" s="11">
        <f>'DA - 58'!D185</f>
        <v>500</v>
      </c>
      <c r="C181" s="11">
        <f>'DA - 58'!E185</f>
        <v>580</v>
      </c>
      <c r="D181" s="11">
        <f>'DA - 58'!G185</f>
        <v>645</v>
      </c>
      <c r="E181" s="11" t="str">
        <f>'DA - 58'!B185</f>
        <v>Frame: 58 ----- Stem: 110x0  ----- Aluminium Aerobar + 20 + bridge + 5</v>
      </c>
      <c r="F181" s="11" t="str">
        <f t="shared" si="30"/>
        <v/>
      </c>
      <c r="G181" s="11" t="str">
        <f t="shared" si="31"/>
        <v/>
      </c>
      <c r="H181" s="11" t="str">
        <f t="shared" si="32"/>
        <v/>
      </c>
      <c r="I181" s="11">
        <f t="shared" si="33"/>
        <v>-60</v>
      </c>
      <c r="J181" s="11">
        <v>1</v>
      </c>
      <c r="K181" s="11">
        <f t="shared" si="34"/>
        <v>1</v>
      </c>
      <c r="L181" s="11" t="str">
        <f>'DA - 58'!H185</f>
        <v xml:space="preserve">Aerobar Bolts: Top 25mm; Bottom 15mm </v>
      </c>
      <c r="M181" s="11" t="s">
        <v>11</v>
      </c>
    </row>
    <row r="182" spans="1:13" x14ac:dyDescent="0.25">
      <c r="A182" s="11">
        <f>'DA - 58'!C186</f>
        <v>530</v>
      </c>
      <c r="B182" s="11">
        <f>'DA - 58'!D186</f>
        <v>500</v>
      </c>
      <c r="C182" s="11">
        <f>'DA - 58'!E186</f>
        <v>580</v>
      </c>
      <c r="D182" s="11">
        <f>'DA - 58'!G186</f>
        <v>650</v>
      </c>
      <c r="E182" s="11" t="str">
        <f>'DA - 58'!B186</f>
        <v>Frame: 58 ----- Stem: 110x0  ----- Aluminium Aerobar + 30 + bridge</v>
      </c>
      <c r="F182" s="11" t="str">
        <f t="shared" si="30"/>
        <v/>
      </c>
      <c r="G182" s="11">
        <f t="shared" si="31"/>
        <v>1</v>
      </c>
      <c r="H182" s="11" t="str">
        <f t="shared" si="32"/>
        <v/>
      </c>
      <c r="I182" s="11">
        <f t="shared" si="33"/>
        <v>-60</v>
      </c>
      <c r="J182" s="11">
        <v>1</v>
      </c>
      <c r="K182" s="11">
        <f t="shared" si="34"/>
        <v>1</v>
      </c>
      <c r="L182" s="11" t="str">
        <f>'DA - 58'!H186</f>
        <v xml:space="preserve">Aerobar Bolts: Top 30mm; Bottom 15mm </v>
      </c>
      <c r="M182" s="11" t="s">
        <v>11</v>
      </c>
    </row>
    <row r="183" spans="1:13" x14ac:dyDescent="0.25">
      <c r="A183" s="11">
        <f>'DA - 58'!C187</f>
        <v>530</v>
      </c>
      <c r="B183" s="11">
        <f>'DA - 58'!D187</f>
        <v>500</v>
      </c>
      <c r="C183" s="11">
        <f>'DA - 58'!E187</f>
        <v>580</v>
      </c>
      <c r="D183" s="11">
        <f>'DA - 58'!G187</f>
        <v>655</v>
      </c>
      <c r="E183" s="11" t="str">
        <f>'DA - 58'!B187</f>
        <v>Frame: 58 ----- Stem: 110x0  ----- Aluminium Aerobar + 30 + bridge + 5</v>
      </c>
      <c r="F183" s="11" t="str">
        <f t="shared" si="30"/>
        <v/>
      </c>
      <c r="G183" s="11">
        <f t="shared" si="31"/>
        <v>1</v>
      </c>
      <c r="H183" s="11" t="str">
        <f t="shared" si="32"/>
        <v/>
      </c>
      <c r="I183" s="11">
        <f t="shared" si="33"/>
        <v>-60</v>
      </c>
      <c r="J183" s="11">
        <v>1</v>
      </c>
      <c r="K183" s="11">
        <f t="shared" si="34"/>
        <v>1</v>
      </c>
      <c r="L183" s="11" t="str">
        <f>'DA - 58'!H187</f>
        <v xml:space="preserve">Aerobar Bolts: Top 30mm; Bottom 15mm </v>
      </c>
      <c r="M183" s="11" t="s">
        <v>11</v>
      </c>
    </row>
    <row r="184" spans="1:13" x14ac:dyDescent="0.25">
      <c r="A184" s="11">
        <f>'DA - 58'!C188</f>
        <v>530</v>
      </c>
      <c r="B184" s="11">
        <f>'DA - 58'!D188</f>
        <v>500</v>
      </c>
      <c r="C184" s="11">
        <f>'DA - 58'!E188</f>
        <v>580</v>
      </c>
      <c r="D184" s="11">
        <f>'DA - 58'!G188</f>
        <v>660</v>
      </c>
      <c r="E184" s="11" t="str">
        <f>'DA - 58'!B188</f>
        <v>Frame: 58 ----- Stem: 110x0  ----- Aluminium Aerobar + 40 + bridge</v>
      </c>
      <c r="F184" s="11" t="str">
        <f t="shared" si="30"/>
        <v/>
      </c>
      <c r="G184" s="11" t="str">
        <f t="shared" si="31"/>
        <v/>
      </c>
      <c r="H184" s="11">
        <f t="shared" si="32"/>
        <v>1</v>
      </c>
      <c r="I184" s="11">
        <f t="shared" si="33"/>
        <v>-60</v>
      </c>
      <c r="J184" s="11">
        <v>1</v>
      </c>
      <c r="K184" s="11">
        <f t="shared" si="34"/>
        <v>1</v>
      </c>
      <c r="L184" s="11" t="str">
        <f>'DA - 58'!H188</f>
        <v xml:space="preserve">Aerobar Bolts: Top 35mm; Bottom 15mm </v>
      </c>
      <c r="M184" s="11" t="s">
        <v>11</v>
      </c>
    </row>
    <row r="185" spans="1:13" x14ac:dyDescent="0.25">
      <c r="A185" s="11">
        <f>'DA - 58'!C189</f>
        <v>530</v>
      </c>
      <c r="B185" s="11">
        <f>'DA - 58'!D189</f>
        <v>500</v>
      </c>
      <c r="C185" s="11">
        <f>'DA - 58'!E189</f>
        <v>580</v>
      </c>
      <c r="D185" s="11">
        <f>'DA - 58'!G189</f>
        <v>665</v>
      </c>
      <c r="E185" s="11" t="str">
        <f>'DA - 58'!B189</f>
        <v>Frame: 58 ----- Stem: 110x0  ----- Aluminium Aerobar + 40 + bridge + 5</v>
      </c>
      <c r="F185" s="11" t="str">
        <f t="shared" si="30"/>
        <v/>
      </c>
      <c r="G185" s="11" t="str">
        <f t="shared" si="31"/>
        <v/>
      </c>
      <c r="H185" s="11">
        <f t="shared" si="32"/>
        <v>1</v>
      </c>
      <c r="I185" s="11">
        <f t="shared" si="33"/>
        <v>-60</v>
      </c>
      <c r="J185" s="11">
        <v>1</v>
      </c>
      <c r="K185" s="11">
        <f t="shared" si="34"/>
        <v>1</v>
      </c>
      <c r="L185" s="11" t="str">
        <f>'DA - 58'!H189</f>
        <v xml:space="preserve">Aerobar Bolts: Top 35mm; Bottom 15mm </v>
      </c>
      <c r="M185" s="11" t="s">
        <v>11</v>
      </c>
    </row>
    <row r="186" spans="1:13" x14ac:dyDescent="0.25">
      <c r="A186" s="11">
        <f>'DA - 58'!C190</f>
        <v>530</v>
      </c>
      <c r="B186" s="11">
        <f>'DA - 58'!D190</f>
        <v>500</v>
      </c>
      <c r="C186" s="11">
        <f>'DA - 58'!E190</f>
        <v>580</v>
      </c>
      <c r="D186" s="11">
        <f>'DA - 58'!G190</f>
        <v>670</v>
      </c>
      <c r="E186" s="11" t="str">
        <f>'DA - 58'!B190</f>
        <v>Frame: 58 ----- Stem: 110x0  ----- Aluminium Aerobar + 40 + bridge + 10</v>
      </c>
      <c r="F186" s="11" t="str">
        <f t="shared" si="30"/>
        <v/>
      </c>
      <c r="G186" s="11" t="str">
        <f t="shared" si="31"/>
        <v/>
      </c>
      <c r="H186" s="11">
        <f t="shared" si="32"/>
        <v>1</v>
      </c>
      <c r="I186" s="11">
        <f t="shared" si="33"/>
        <v>-60</v>
      </c>
      <c r="J186" s="11">
        <v>1</v>
      </c>
      <c r="K186" s="11">
        <f t="shared" si="34"/>
        <v>1</v>
      </c>
      <c r="L186" s="11" t="str">
        <f>'DA - 58'!H190</f>
        <v xml:space="preserve">Aerobar Bolts: Top 35mm; Bottom 15mm </v>
      </c>
      <c r="M186" s="11" t="s">
        <v>11</v>
      </c>
    </row>
    <row r="187" spans="1:13" x14ac:dyDescent="0.25">
      <c r="A187" s="11">
        <f>'DA - 58'!C191</f>
        <v>530</v>
      </c>
      <c r="B187" s="11">
        <f>'DA - 58'!D191</f>
        <v>500</v>
      </c>
      <c r="C187" s="11">
        <f>'DA - 58'!E191</f>
        <v>580</v>
      </c>
      <c r="D187" s="11">
        <f>'DA - 58'!G191</f>
        <v>675</v>
      </c>
      <c r="E187" s="11" t="str">
        <f>'DA - 58'!B191</f>
        <v>Frame: 58 ----- Stem: 110x0  ----- Aluminium Aerobar + 40 + bridge + 10 + 5</v>
      </c>
      <c r="F187" s="11" t="str">
        <f t="shared" si="30"/>
        <v/>
      </c>
      <c r="G187" s="11" t="str">
        <f t="shared" si="31"/>
        <v/>
      </c>
      <c r="H187" s="11">
        <f t="shared" si="32"/>
        <v>1</v>
      </c>
      <c r="I187" s="11">
        <f t="shared" si="33"/>
        <v>-60</v>
      </c>
      <c r="J187" s="11">
        <v>1</v>
      </c>
      <c r="K187" s="11">
        <f t="shared" si="34"/>
        <v>1</v>
      </c>
      <c r="L187" s="11" t="str">
        <f>'DA - 58'!H191</f>
        <v xml:space="preserve">Aerobar Bolts: Top 35mm; Bottom 25mm </v>
      </c>
      <c r="M187" s="11" t="s">
        <v>11</v>
      </c>
    </row>
    <row r="188" spans="1:13" x14ac:dyDescent="0.25">
      <c r="A188" s="11">
        <f>'DA - 56'!C12</f>
        <v>470</v>
      </c>
      <c r="B188" s="11">
        <f>'DA - 56'!D12</f>
        <v>440</v>
      </c>
      <c r="C188" s="11">
        <f>'DA - 56'!E12</f>
        <v>520</v>
      </c>
      <c r="D188" s="11">
        <f>'DA - 56'!G12</f>
        <v>0</v>
      </c>
      <c r="E188" s="11" t="str">
        <f>'DA - 56'!B12</f>
        <v>Frame: 56 ----- Stem: 70x30  ----- Carbon Aerobar</v>
      </c>
      <c r="F188" s="11">
        <f t="shared" si="30"/>
        <v>1</v>
      </c>
      <c r="G188" s="11" t="str">
        <f t="shared" si="31"/>
        <v/>
      </c>
      <c r="H188" s="11" t="str">
        <f t="shared" si="32"/>
        <v/>
      </c>
      <c r="I188" s="11">
        <f t="shared" si="33"/>
        <v>0</v>
      </c>
      <c r="J188" s="11">
        <v>1</v>
      </c>
      <c r="K188" s="11">
        <f t="shared" si="34"/>
        <v>1</v>
      </c>
      <c r="L188" s="11" t="str">
        <f>'DA - 56'!H12</f>
        <v xml:space="preserve">Aerobar Bolts: Top N/A; Bottom N/A </v>
      </c>
      <c r="M188" s="11" t="s">
        <v>11</v>
      </c>
    </row>
    <row r="189" spans="1:13" x14ac:dyDescent="0.25">
      <c r="A189" s="11">
        <f>'DA - 56'!C13</f>
        <v>470</v>
      </c>
      <c r="B189" s="11">
        <f>'DA - 56'!D13</f>
        <v>440</v>
      </c>
      <c r="C189" s="11">
        <f>'DA - 56'!E13</f>
        <v>520</v>
      </c>
      <c r="D189" s="11">
        <f>'DA - 56'!G13</f>
        <v>615</v>
      </c>
      <c r="E189" s="11" t="str">
        <f>'DA - 56'!B13</f>
        <v>Frame: 56 ----- Stem: 70x30  ----- Carbon Aerobar + 5</v>
      </c>
      <c r="F189" s="11">
        <f t="shared" si="30"/>
        <v>1</v>
      </c>
      <c r="G189" s="11" t="str">
        <f t="shared" si="31"/>
        <v/>
      </c>
      <c r="H189" s="11" t="str">
        <f t="shared" si="32"/>
        <v/>
      </c>
      <c r="I189" s="11">
        <f t="shared" si="33"/>
        <v>0</v>
      </c>
      <c r="J189" s="11">
        <v>1</v>
      </c>
      <c r="K189" s="11">
        <f t="shared" si="34"/>
        <v>1</v>
      </c>
      <c r="L189" s="11" t="str">
        <f>'DA - 56'!H13</f>
        <v xml:space="preserve">Aerobar Bolts: Top 45mm; Bottom N/A </v>
      </c>
      <c r="M189" s="11" t="s">
        <v>11</v>
      </c>
    </row>
    <row r="190" spans="1:13" x14ac:dyDescent="0.25">
      <c r="A190" s="11">
        <f>'DA - 56'!C14</f>
        <v>470</v>
      </c>
      <c r="B190" s="11">
        <f>'DA - 56'!D14</f>
        <v>440</v>
      </c>
      <c r="C190" s="11">
        <f>'DA - 56'!E14</f>
        <v>520</v>
      </c>
      <c r="D190" s="11">
        <f>'DA - 56'!G14</f>
        <v>620</v>
      </c>
      <c r="E190" s="11" t="str">
        <f>'DA - 56'!B14</f>
        <v>Frame: 56 ----- Stem: 70x30  ----- Carbon Aerobar + 10</v>
      </c>
      <c r="F190" s="11">
        <f t="shared" si="30"/>
        <v>1</v>
      </c>
      <c r="G190" s="11" t="str">
        <f t="shared" si="31"/>
        <v/>
      </c>
      <c r="H190" s="11" t="str">
        <f t="shared" si="32"/>
        <v/>
      </c>
      <c r="I190" s="11">
        <f t="shared" si="33"/>
        <v>0</v>
      </c>
      <c r="J190" s="11">
        <v>1</v>
      </c>
      <c r="K190" s="11">
        <f t="shared" si="34"/>
        <v>1</v>
      </c>
      <c r="L190" s="11" t="str">
        <f>'DA - 56'!H14</f>
        <v xml:space="preserve">Aerobar Bolts: Top 50mm; Bottom N/A </v>
      </c>
      <c r="M190" s="11" t="s">
        <v>11</v>
      </c>
    </row>
    <row r="191" spans="1:13" x14ac:dyDescent="0.25">
      <c r="A191" s="11">
        <f>'DA - 56'!C15</f>
        <v>470</v>
      </c>
      <c r="B191" s="11">
        <f>'DA - 56'!D15</f>
        <v>440</v>
      </c>
      <c r="C191" s="11">
        <f>'DA - 56'!E15</f>
        <v>520</v>
      </c>
      <c r="D191" s="11">
        <f>'DA - 56'!G15</f>
        <v>625</v>
      </c>
      <c r="E191" s="11" t="str">
        <f>'DA - 56'!B15</f>
        <v>Frame: 56 ----- Stem: 70x30  ----- Carbon Aerobar + 5 + 10</v>
      </c>
      <c r="F191" s="11">
        <f t="shared" si="30"/>
        <v>1</v>
      </c>
      <c r="G191" s="11" t="str">
        <f t="shared" si="31"/>
        <v/>
      </c>
      <c r="H191" s="11" t="str">
        <f t="shared" si="32"/>
        <v/>
      </c>
      <c r="I191" s="11">
        <f t="shared" si="33"/>
        <v>0</v>
      </c>
      <c r="J191" s="11">
        <v>1</v>
      </c>
      <c r="K191" s="11">
        <f t="shared" si="34"/>
        <v>1</v>
      </c>
      <c r="L191" s="11" t="str">
        <f>'DA - 56'!H15</f>
        <v xml:space="preserve">Aerobar Bolts: Top 55mm; Bottom N/A </v>
      </c>
      <c r="M191" s="11" t="s">
        <v>11</v>
      </c>
    </row>
    <row r="192" spans="1:13" x14ac:dyDescent="0.25">
      <c r="A192" s="11">
        <f>'DA - 56'!C16</f>
        <v>470</v>
      </c>
      <c r="B192" s="11">
        <f>'DA - 56'!D16</f>
        <v>440</v>
      </c>
      <c r="C192" s="11">
        <f>'DA - 56'!E16</f>
        <v>520</v>
      </c>
      <c r="D192" s="11">
        <f>'DA - 56'!G16</f>
        <v>630</v>
      </c>
      <c r="E192" s="11" t="str">
        <f>'DA - 56'!B16</f>
        <v>Frame: 56 ----- Stem: 70x30  ----- Carbon Aerobar + 20</v>
      </c>
      <c r="F192" s="11">
        <f t="shared" si="30"/>
        <v>1</v>
      </c>
      <c r="G192" s="11" t="str">
        <f t="shared" si="31"/>
        <v/>
      </c>
      <c r="H192" s="11" t="str">
        <f t="shared" si="32"/>
        <v/>
      </c>
      <c r="I192" s="11">
        <f t="shared" si="33"/>
        <v>0</v>
      </c>
      <c r="J192" s="11">
        <v>1</v>
      </c>
      <c r="K192" s="11">
        <f t="shared" si="34"/>
        <v>1</v>
      </c>
      <c r="L192" s="11" t="str">
        <f>'DA - 56'!H16</f>
        <v xml:space="preserve">Aerobar Bolts: Top 20mm; Bottom 30mm </v>
      </c>
      <c r="M192" s="11" t="s">
        <v>11</v>
      </c>
    </row>
    <row r="193" spans="1:13" x14ac:dyDescent="0.25">
      <c r="A193" s="11">
        <f>'DA - 56'!C17</f>
        <v>470</v>
      </c>
      <c r="B193" s="11">
        <f>'DA - 56'!D17</f>
        <v>440</v>
      </c>
      <c r="C193" s="11">
        <f>'DA - 56'!E17</f>
        <v>520</v>
      </c>
      <c r="D193" s="11">
        <f>'DA - 56'!G17</f>
        <v>635</v>
      </c>
      <c r="E193" s="11" t="str">
        <f>'DA - 56'!B17</f>
        <v>Frame: 56 ----- Stem: 70x30  ----- Carbon Aerobar + 20 + 5</v>
      </c>
      <c r="F193" s="11">
        <f t="shared" ref="F193:F256" si="35">IF(AND($F$5&gt;=B193,$F$5&lt;=C193),1,"")</f>
        <v>1</v>
      </c>
      <c r="G193" s="11" t="str">
        <f t="shared" si="31"/>
        <v/>
      </c>
      <c r="H193" s="11" t="str">
        <f t="shared" si="32"/>
        <v/>
      </c>
      <c r="I193" s="11">
        <f t="shared" si="33"/>
        <v>0</v>
      </c>
      <c r="J193" s="11">
        <v>1</v>
      </c>
      <c r="K193" s="11">
        <f t="shared" si="34"/>
        <v>1</v>
      </c>
      <c r="L193" s="11" t="str">
        <f>'DA - 56'!H17</f>
        <v xml:space="preserve">Aerobar Bolts: Top 25mm; Bottom 30mm </v>
      </c>
      <c r="M193" s="11" t="s">
        <v>11</v>
      </c>
    </row>
    <row r="194" spans="1:13" x14ac:dyDescent="0.25">
      <c r="A194" s="11">
        <f>'DA - 56'!C18</f>
        <v>470</v>
      </c>
      <c r="B194" s="11">
        <f>'DA - 56'!D18</f>
        <v>440</v>
      </c>
      <c r="C194" s="11">
        <f>'DA - 56'!E18</f>
        <v>520</v>
      </c>
      <c r="D194" s="11">
        <f>'DA - 56'!G18</f>
        <v>635</v>
      </c>
      <c r="E194" s="11" t="str">
        <f>'DA - 56'!B18</f>
        <v>Frame: 56 ----- Stem: 70x30  ----- Carbon Aerobar + 20 + bridge</v>
      </c>
      <c r="F194" s="11">
        <f t="shared" si="35"/>
        <v>1</v>
      </c>
      <c r="G194" s="11" t="str">
        <f t="shared" si="31"/>
        <v/>
      </c>
      <c r="H194" s="11" t="str">
        <f t="shared" si="32"/>
        <v/>
      </c>
      <c r="I194" s="11">
        <f t="shared" si="33"/>
        <v>0</v>
      </c>
      <c r="J194" s="11">
        <v>1</v>
      </c>
      <c r="K194" s="11">
        <f t="shared" si="34"/>
        <v>1</v>
      </c>
      <c r="L194" s="11" t="str">
        <f>'DA - 56'!H18</f>
        <v xml:space="preserve">Aerobar Bolts: Top 25mm; Bottom 30mm </v>
      </c>
      <c r="M194" s="11" t="s">
        <v>11</v>
      </c>
    </row>
    <row r="195" spans="1:13" x14ac:dyDescent="0.25">
      <c r="A195" s="11">
        <f>'DA - 56'!C19</f>
        <v>470</v>
      </c>
      <c r="B195" s="11">
        <f>'DA - 56'!D19</f>
        <v>440</v>
      </c>
      <c r="C195" s="11">
        <f>'DA - 56'!E19</f>
        <v>520</v>
      </c>
      <c r="D195" s="11">
        <f>'DA - 56'!G19</f>
        <v>640</v>
      </c>
      <c r="E195" s="11" t="str">
        <f>'DA - 56'!B19</f>
        <v>Frame: 56 ----- Stem: 70x30  ----- Carbon Aerobar + 30</v>
      </c>
      <c r="F195" s="11">
        <f t="shared" si="35"/>
        <v>1</v>
      </c>
      <c r="G195" s="11">
        <f t="shared" si="31"/>
        <v>1</v>
      </c>
      <c r="H195" s="11" t="str">
        <f t="shared" si="32"/>
        <v/>
      </c>
      <c r="I195" s="11">
        <f t="shared" si="33"/>
        <v>0</v>
      </c>
      <c r="J195" s="11">
        <v>1</v>
      </c>
      <c r="K195" s="11">
        <f t="shared" si="34"/>
        <v>1</v>
      </c>
      <c r="L195" s="11" t="str">
        <f>'DA - 56'!H19</f>
        <v xml:space="preserve">Aerobar Bolts: Top 25mm; Bottom 30mm </v>
      </c>
      <c r="M195" s="11" t="s">
        <v>11</v>
      </c>
    </row>
    <row r="196" spans="1:13" x14ac:dyDescent="0.25">
      <c r="A196" s="11">
        <f>'DA - 56'!C20</f>
        <v>470</v>
      </c>
      <c r="B196" s="11">
        <f>'DA - 56'!D20</f>
        <v>440</v>
      </c>
      <c r="C196" s="11">
        <f>'DA - 56'!E20</f>
        <v>520</v>
      </c>
      <c r="D196" s="11">
        <f>'DA - 56'!G20</f>
        <v>640</v>
      </c>
      <c r="E196" s="11" t="str">
        <f>'DA - 56'!B20</f>
        <v>Frame: 56 ----- Stem: 70x30  ----- Carbon Aerobar + 20 + bridge + 5</v>
      </c>
      <c r="F196" s="11">
        <f t="shared" si="35"/>
        <v>1</v>
      </c>
      <c r="G196" s="11" t="str">
        <f t="shared" si="31"/>
        <v/>
      </c>
      <c r="H196" s="11" t="str">
        <f t="shared" si="32"/>
        <v/>
      </c>
      <c r="I196" s="11">
        <f t="shared" si="33"/>
        <v>0</v>
      </c>
      <c r="J196" s="11">
        <v>1</v>
      </c>
      <c r="K196" s="11">
        <f t="shared" si="34"/>
        <v>1</v>
      </c>
      <c r="L196" s="11" t="str">
        <f>'DA - 56'!H20</f>
        <v xml:space="preserve">Aerobar Bolts: Top 30mm; Bottom 30mm </v>
      </c>
      <c r="M196" s="11" t="s">
        <v>11</v>
      </c>
    </row>
    <row r="197" spans="1:13" x14ac:dyDescent="0.25">
      <c r="A197" s="11">
        <f>'DA - 56'!C21</f>
        <v>470</v>
      </c>
      <c r="B197" s="11">
        <f>'DA - 56'!D21</f>
        <v>440</v>
      </c>
      <c r="C197" s="11">
        <f>'DA - 56'!E21</f>
        <v>520</v>
      </c>
      <c r="D197" s="11">
        <f>'DA - 56'!G21</f>
        <v>645</v>
      </c>
      <c r="E197" s="11" t="str">
        <f>'DA - 56'!B21</f>
        <v>Frame: 56 ----- Stem: 70x30  ----- Carbon Aerobar + 30 + bridge</v>
      </c>
      <c r="F197" s="11">
        <f t="shared" si="35"/>
        <v>1</v>
      </c>
      <c r="G197" s="11">
        <f t="shared" si="31"/>
        <v>1</v>
      </c>
      <c r="H197" s="11" t="str">
        <f t="shared" si="32"/>
        <v/>
      </c>
      <c r="I197" s="11">
        <f t="shared" si="33"/>
        <v>0</v>
      </c>
      <c r="J197" s="11">
        <v>1</v>
      </c>
      <c r="K197" s="11">
        <f t="shared" si="34"/>
        <v>1</v>
      </c>
      <c r="L197" s="11" t="str">
        <f>'DA - 56'!H21</f>
        <v xml:space="preserve">Aerobar Bolts: Top 30mm; Bottom 30mm </v>
      </c>
      <c r="M197" s="11" t="s">
        <v>11</v>
      </c>
    </row>
    <row r="198" spans="1:13" x14ac:dyDescent="0.25">
      <c r="A198" s="11">
        <f>'DA - 56'!C22</f>
        <v>470</v>
      </c>
      <c r="B198" s="11">
        <f>'DA - 56'!D22</f>
        <v>440</v>
      </c>
      <c r="C198" s="11">
        <f>'DA - 56'!E22</f>
        <v>520</v>
      </c>
      <c r="D198" s="11">
        <f>'DA - 56'!G22</f>
        <v>650</v>
      </c>
      <c r="E198" s="11" t="str">
        <f>'DA - 56'!B22</f>
        <v>Frame: 56 ----- Stem: 70x30  ----- Carbon Aerobar + 30 + bridge + 5</v>
      </c>
      <c r="F198" s="11">
        <f t="shared" si="35"/>
        <v>1</v>
      </c>
      <c r="G198" s="11">
        <f t="shared" si="31"/>
        <v>1</v>
      </c>
      <c r="H198" s="11" t="str">
        <f t="shared" si="32"/>
        <v/>
      </c>
      <c r="I198" s="11">
        <f t="shared" si="33"/>
        <v>0</v>
      </c>
      <c r="J198" s="11">
        <v>1</v>
      </c>
      <c r="K198" s="11">
        <f t="shared" si="34"/>
        <v>1</v>
      </c>
      <c r="L198" s="11" t="str">
        <f>'DA - 56'!H22</f>
        <v xml:space="preserve">Aerobar Bolts: Top 35mm; Bottom 30mm </v>
      </c>
      <c r="M198" s="11" t="s">
        <v>11</v>
      </c>
    </row>
    <row r="199" spans="1:13" x14ac:dyDescent="0.25">
      <c r="A199" s="11">
        <f>'DA - 56'!C23</f>
        <v>470</v>
      </c>
      <c r="B199" s="11">
        <f>'DA - 56'!D23</f>
        <v>440</v>
      </c>
      <c r="C199" s="11">
        <f>'DA - 56'!E23</f>
        <v>520</v>
      </c>
      <c r="D199" s="11">
        <f>'DA - 56'!G23</f>
        <v>655</v>
      </c>
      <c r="E199" s="11" t="str">
        <f>'DA - 56'!B23</f>
        <v>Frame: 56 ----- Stem: 70x30  ----- Carbon Aerobar + 40 + bridge</v>
      </c>
      <c r="F199" s="11">
        <f t="shared" si="35"/>
        <v>1</v>
      </c>
      <c r="G199" s="11" t="str">
        <f t="shared" si="31"/>
        <v/>
      </c>
      <c r="H199" s="11">
        <f t="shared" si="32"/>
        <v>1</v>
      </c>
      <c r="I199" s="11">
        <f t="shared" si="33"/>
        <v>0</v>
      </c>
      <c r="J199" s="11">
        <v>1</v>
      </c>
      <c r="K199" s="11">
        <f t="shared" si="34"/>
        <v>1</v>
      </c>
      <c r="L199" s="11" t="str">
        <f>'DA - 56'!H23</f>
        <v xml:space="preserve">Aerobar Bolts: Top 35mm; Bottom 30mm </v>
      </c>
      <c r="M199" s="11" t="s">
        <v>11</v>
      </c>
    </row>
    <row r="200" spans="1:13" x14ac:dyDescent="0.25">
      <c r="A200" s="11">
        <f>'DA - 56'!C24</f>
        <v>470</v>
      </c>
      <c r="B200" s="11">
        <f>'DA - 56'!D24</f>
        <v>440</v>
      </c>
      <c r="C200" s="11">
        <f>'DA - 56'!E24</f>
        <v>520</v>
      </c>
      <c r="D200" s="11">
        <f>'DA - 56'!G24</f>
        <v>660</v>
      </c>
      <c r="E200" s="11" t="str">
        <f>'DA - 56'!B24</f>
        <v>Frame: 56 ----- Stem: 70x30  ----- Carbon Aerobar + 40 + bridge + 5</v>
      </c>
      <c r="F200" s="11">
        <f t="shared" si="35"/>
        <v>1</v>
      </c>
      <c r="G200" s="11" t="str">
        <f t="shared" si="31"/>
        <v/>
      </c>
      <c r="H200" s="11">
        <f t="shared" si="32"/>
        <v>1</v>
      </c>
      <c r="I200" s="11">
        <f t="shared" si="33"/>
        <v>0</v>
      </c>
      <c r="J200" s="11">
        <v>1</v>
      </c>
      <c r="K200" s="11">
        <f t="shared" si="34"/>
        <v>1</v>
      </c>
      <c r="L200" s="11" t="str">
        <f>'DA - 56'!H24</f>
        <v xml:space="preserve">Aerobar Bolts: Top 35mm; Bottom 30mm </v>
      </c>
      <c r="M200" s="11" t="s">
        <v>11</v>
      </c>
    </row>
    <row r="201" spans="1:13" x14ac:dyDescent="0.25">
      <c r="A201" s="11">
        <f>'DA - 56'!C25</f>
        <v>470</v>
      </c>
      <c r="B201" s="11">
        <f>'DA - 56'!D25</f>
        <v>440</v>
      </c>
      <c r="C201" s="11">
        <f>'DA - 56'!E25</f>
        <v>520</v>
      </c>
      <c r="D201" s="11">
        <f>'DA - 56'!G25</f>
        <v>665</v>
      </c>
      <c r="E201" s="11" t="str">
        <f>'DA - 56'!B25</f>
        <v>Frame: 56 ----- Stem: 70x30  ----- Carbon Aerobar + 40 + bridge + 10</v>
      </c>
      <c r="F201" s="11">
        <f t="shared" si="35"/>
        <v>1</v>
      </c>
      <c r="G201" s="11" t="str">
        <f t="shared" ref="G201:G264" si="36">IF(ISNUMBER(FIND(" 30",E201)),1,"")</f>
        <v/>
      </c>
      <c r="H201" s="11">
        <f t="shared" ref="H201:H264" si="37">IF(ISNUMBER(FIND(" 40",E201)),1,"")</f>
        <v>1</v>
      </c>
      <c r="I201" s="11">
        <f t="shared" ref="I201:I264" si="38">$F$5-A201</f>
        <v>0</v>
      </c>
      <c r="J201" s="11">
        <v>1</v>
      </c>
      <c r="K201" s="11">
        <f t="shared" ref="K201:K264" si="39">IF(ISNUMBER(FIND(" 58",E201)),$AD$9,IF(ISNUMBER(FIND(" 56",E201)),$AD$8,IF(ISNUMBER(FIND(" 54",E201)),$AD$7,IF(ISNUMBER(FIND(" 51",E201)),$AD$6,IF(ISNUMBER(FIND(" 47",E201)),$AD$5,"")))))</f>
        <v>1</v>
      </c>
      <c r="L201" s="11" t="str">
        <f>'DA - 56'!H25</f>
        <v xml:space="preserve">Aerobar Bolts: Top 40mm; Bottom 30mm </v>
      </c>
      <c r="M201" s="11" t="s">
        <v>11</v>
      </c>
    </row>
    <row r="202" spans="1:13" x14ac:dyDescent="0.25">
      <c r="A202" s="11">
        <f>'DA - 56'!C26</f>
        <v>470</v>
      </c>
      <c r="B202" s="11">
        <f>'DA - 56'!D26</f>
        <v>440</v>
      </c>
      <c r="C202" s="11">
        <f>'DA - 56'!E26</f>
        <v>520</v>
      </c>
      <c r="D202" s="11">
        <f>'DA - 56'!G26</f>
        <v>670</v>
      </c>
      <c r="E202" s="11" t="str">
        <f>'DA - 56'!B26</f>
        <v>Frame: 56 ----- Stem: 70x30  ----- Carbon Aerobar + 40 + bridge + 10 + 5</v>
      </c>
      <c r="F202" s="11">
        <f t="shared" si="35"/>
        <v>1</v>
      </c>
      <c r="G202" s="11" t="str">
        <f t="shared" si="36"/>
        <v/>
      </c>
      <c r="H202" s="11">
        <f t="shared" si="37"/>
        <v>1</v>
      </c>
      <c r="I202" s="11">
        <f t="shared" si="38"/>
        <v>0</v>
      </c>
      <c r="J202" s="11">
        <v>1</v>
      </c>
      <c r="K202" s="11">
        <f t="shared" si="39"/>
        <v>1</v>
      </c>
      <c r="L202" s="11" t="str">
        <f>'DA - 56'!H26</f>
        <v xml:space="preserve">Aerobar Bolts: Top 45mm; Bottom 30mm </v>
      </c>
      <c r="M202" s="11" t="s">
        <v>11</v>
      </c>
    </row>
    <row r="203" spans="1:13" x14ac:dyDescent="0.25">
      <c r="A203" s="11">
        <f>'DA - 56'!C27</f>
        <v>460</v>
      </c>
      <c r="B203" s="11">
        <f>'DA - 56'!D27</f>
        <v>430</v>
      </c>
      <c r="C203" s="11">
        <f>'DA - 56'!E27</f>
        <v>510</v>
      </c>
      <c r="D203" s="11">
        <f>'DA - 56'!G27</f>
        <v>0</v>
      </c>
      <c r="E203" s="11" t="str">
        <f>'DA - 56'!B27</f>
        <v>Frame: 56 ----- Stem: 70x60  ----- Carbon Aerobar</v>
      </c>
      <c r="F203" s="11">
        <f t="shared" si="35"/>
        <v>1</v>
      </c>
      <c r="G203" s="11" t="str">
        <f t="shared" si="36"/>
        <v/>
      </c>
      <c r="H203" s="11" t="str">
        <f t="shared" si="37"/>
        <v/>
      </c>
      <c r="I203" s="11">
        <f t="shared" si="38"/>
        <v>10</v>
      </c>
      <c r="J203" s="11">
        <v>1</v>
      </c>
      <c r="K203" s="11">
        <f t="shared" si="39"/>
        <v>1</v>
      </c>
      <c r="L203" s="11" t="str">
        <f>'DA - 56'!H27</f>
        <v xml:space="preserve">Aerobar Bolts: Top N/A; Bottom N/A </v>
      </c>
      <c r="M203" s="11" t="s">
        <v>11</v>
      </c>
    </row>
    <row r="204" spans="1:13" x14ac:dyDescent="0.25">
      <c r="A204" s="11">
        <f>'DA - 56'!C28</f>
        <v>460</v>
      </c>
      <c r="B204" s="11">
        <f>'DA - 56'!D28</f>
        <v>430</v>
      </c>
      <c r="C204" s="11">
        <f>'DA - 56'!E28</f>
        <v>510</v>
      </c>
      <c r="D204" s="11">
        <f>'DA - 56'!G28</f>
        <v>645</v>
      </c>
      <c r="E204" s="11" t="str">
        <f>'DA - 56'!B28</f>
        <v>Frame: 56 ----- Stem: 70x60  ----- Carbon Aerobar + 5</v>
      </c>
      <c r="F204" s="11">
        <f t="shared" si="35"/>
        <v>1</v>
      </c>
      <c r="G204" s="11" t="str">
        <f t="shared" si="36"/>
        <v/>
      </c>
      <c r="H204" s="11" t="str">
        <f t="shared" si="37"/>
        <v/>
      </c>
      <c r="I204" s="11">
        <f t="shared" si="38"/>
        <v>10</v>
      </c>
      <c r="J204" s="11">
        <v>1</v>
      </c>
      <c r="K204" s="11">
        <f t="shared" si="39"/>
        <v>1</v>
      </c>
      <c r="L204" s="11" t="str">
        <f>'DA - 56'!H28</f>
        <v xml:space="preserve">Aerobar Bolts: Top 45mm; Bottom N/A </v>
      </c>
      <c r="M204" s="11" t="s">
        <v>11</v>
      </c>
    </row>
    <row r="205" spans="1:13" x14ac:dyDescent="0.25">
      <c r="A205" s="11">
        <f>'DA - 56'!C29</f>
        <v>460</v>
      </c>
      <c r="B205" s="11">
        <f>'DA - 56'!D29</f>
        <v>430</v>
      </c>
      <c r="C205" s="11">
        <f>'DA - 56'!E29</f>
        <v>510</v>
      </c>
      <c r="D205" s="11">
        <f>'DA - 56'!G29</f>
        <v>650</v>
      </c>
      <c r="E205" s="11" t="str">
        <f>'DA - 56'!B29</f>
        <v>Frame: 56 ----- Stem: 70x60  ----- Carbon Aerobar + 10</v>
      </c>
      <c r="F205" s="11">
        <f t="shared" si="35"/>
        <v>1</v>
      </c>
      <c r="G205" s="11" t="str">
        <f t="shared" si="36"/>
        <v/>
      </c>
      <c r="H205" s="11" t="str">
        <f t="shared" si="37"/>
        <v/>
      </c>
      <c r="I205" s="11">
        <f t="shared" si="38"/>
        <v>10</v>
      </c>
      <c r="J205" s="11">
        <v>1</v>
      </c>
      <c r="K205" s="11">
        <f t="shared" si="39"/>
        <v>1</v>
      </c>
      <c r="L205" s="11" t="str">
        <f>'DA - 56'!H29</f>
        <v xml:space="preserve">Aerobar Bolts: Top 50mm; Bottom N/A </v>
      </c>
      <c r="M205" s="11" t="s">
        <v>11</v>
      </c>
    </row>
    <row r="206" spans="1:13" x14ac:dyDescent="0.25">
      <c r="A206" s="11">
        <f>'DA - 56'!C30</f>
        <v>460</v>
      </c>
      <c r="B206" s="11">
        <f>'DA - 56'!D30</f>
        <v>430</v>
      </c>
      <c r="C206" s="11">
        <f>'DA - 56'!E30</f>
        <v>510</v>
      </c>
      <c r="D206" s="11">
        <f>'DA - 56'!G30</f>
        <v>655</v>
      </c>
      <c r="E206" s="11" t="str">
        <f>'DA - 56'!B30</f>
        <v>Frame: 56 ----- Stem: 70x60  ----- Carbon Aerobar + 5 + 10</v>
      </c>
      <c r="F206" s="11">
        <f t="shared" si="35"/>
        <v>1</v>
      </c>
      <c r="G206" s="11" t="str">
        <f t="shared" si="36"/>
        <v/>
      </c>
      <c r="H206" s="11" t="str">
        <f t="shared" si="37"/>
        <v/>
      </c>
      <c r="I206" s="11">
        <f t="shared" si="38"/>
        <v>10</v>
      </c>
      <c r="J206" s="11">
        <v>1</v>
      </c>
      <c r="K206" s="11">
        <f t="shared" si="39"/>
        <v>1</v>
      </c>
      <c r="L206" s="11" t="str">
        <f>'DA - 56'!H30</f>
        <v xml:space="preserve">Aerobar Bolts: Top 55mm; Bottom N/A </v>
      </c>
      <c r="M206" s="11" t="s">
        <v>11</v>
      </c>
    </row>
    <row r="207" spans="1:13" x14ac:dyDescent="0.25">
      <c r="A207" s="11">
        <f>'DA - 56'!C31</f>
        <v>460</v>
      </c>
      <c r="B207" s="11">
        <f>'DA - 56'!D31</f>
        <v>430</v>
      </c>
      <c r="C207" s="11">
        <f>'DA - 56'!E31</f>
        <v>510</v>
      </c>
      <c r="D207" s="11">
        <f>'DA - 56'!G31</f>
        <v>660</v>
      </c>
      <c r="E207" s="11" t="str">
        <f>'DA - 56'!B31</f>
        <v>Frame: 56 ----- Stem: 70x60  ----- Carbon Aerobar + 20</v>
      </c>
      <c r="F207" s="11">
        <f t="shared" si="35"/>
        <v>1</v>
      </c>
      <c r="G207" s="11" t="str">
        <f t="shared" si="36"/>
        <v/>
      </c>
      <c r="H207" s="11" t="str">
        <f t="shared" si="37"/>
        <v/>
      </c>
      <c r="I207" s="11">
        <f t="shared" si="38"/>
        <v>10</v>
      </c>
      <c r="J207" s="11">
        <v>1</v>
      </c>
      <c r="K207" s="11">
        <f t="shared" si="39"/>
        <v>1</v>
      </c>
      <c r="L207" s="11" t="str">
        <f>'DA - 56'!H31</f>
        <v xml:space="preserve">Aerobar Bolts: Top 20mm; Bottom 30mm </v>
      </c>
      <c r="M207" s="11" t="s">
        <v>11</v>
      </c>
    </row>
    <row r="208" spans="1:13" x14ac:dyDescent="0.25">
      <c r="A208" s="11">
        <f>'DA - 56'!C32</f>
        <v>460</v>
      </c>
      <c r="B208" s="11">
        <f>'DA - 56'!D32</f>
        <v>430</v>
      </c>
      <c r="C208" s="11">
        <f>'DA - 56'!E32</f>
        <v>510</v>
      </c>
      <c r="D208" s="11">
        <f>'DA - 56'!G32</f>
        <v>665</v>
      </c>
      <c r="E208" s="11" t="str">
        <f>'DA - 56'!B32</f>
        <v>Frame: 56 ----- Stem: 70x60  ----- Carbon Aerobar + 20 + 5</v>
      </c>
      <c r="F208" s="11">
        <f t="shared" si="35"/>
        <v>1</v>
      </c>
      <c r="G208" s="11" t="str">
        <f t="shared" si="36"/>
        <v/>
      </c>
      <c r="H208" s="11" t="str">
        <f t="shared" si="37"/>
        <v/>
      </c>
      <c r="I208" s="11">
        <f t="shared" si="38"/>
        <v>10</v>
      </c>
      <c r="J208" s="11">
        <v>1</v>
      </c>
      <c r="K208" s="11">
        <f t="shared" si="39"/>
        <v>1</v>
      </c>
      <c r="L208" s="11" t="str">
        <f>'DA - 56'!H32</f>
        <v xml:space="preserve">Aerobar Bolts: Top 25mm; Bottom 30mm </v>
      </c>
      <c r="M208" s="11" t="s">
        <v>11</v>
      </c>
    </row>
    <row r="209" spans="1:13" x14ac:dyDescent="0.25">
      <c r="A209" s="11">
        <f>'DA - 56'!C33</f>
        <v>460</v>
      </c>
      <c r="B209" s="11">
        <f>'DA - 56'!D33</f>
        <v>430</v>
      </c>
      <c r="C209" s="11">
        <f>'DA - 56'!E33</f>
        <v>510</v>
      </c>
      <c r="D209" s="11">
        <f>'DA - 56'!G33</f>
        <v>665</v>
      </c>
      <c r="E209" s="11" t="str">
        <f>'DA - 56'!B33</f>
        <v>Frame: 56 ----- Stem: 70x60  ----- Carbon Aerobar + 20 + bridge</v>
      </c>
      <c r="F209" s="11">
        <f t="shared" si="35"/>
        <v>1</v>
      </c>
      <c r="G209" s="11" t="str">
        <f t="shared" si="36"/>
        <v/>
      </c>
      <c r="H209" s="11" t="str">
        <f t="shared" si="37"/>
        <v/>
      </c>
      <c r="I209" s="11">
        <f t="shared" si="38"/>
        <v>10</v>
      </c>
      <c r="J209" s="11">
        <v>1</v>
      </c>
      <c r="K209" s="11">
        <f t="shared" si="39"/>
        <v>1</v>
      </c>
      <c r="L209" s="11" t="str">
        <f>'DA - 56'!H33</f>
        <v xml:space="preserve">Aerobar Bolts: Top 25mm; Bottom 30mm </v>
      </c>
      <c r="M209" s="11" t="s">
        <v>11</v>
      </c>
    </row>
    <row r="210" spans="1:13" x14ac:dyDescent="0.25">
      <c r="A210" s="11">
        <f>'DA - 56'!C34</f>
        <v>460</v>
      </c>
      <c r="B210" s="11">
        <f>'DA - 56'!D34</f>
        <v>430</v>
      </c>
      <c r="C210" s="11">
        <f>'DA - 56'!E34</f>
        <v>510</v>
      </c>
      <c r="D210" s="11">
        <f>'DA - 56'!G34</f>
        <v>670</v>
      </c>
      <c r="E210" s="11" t="str">
        <f>'DA - 56'!B34</f>
        <v>Frame: 56 ----- Stem: 70x60  ----- Carbon Aerobar + 30</v>
      </c>
      <c r="F210" s="11">
        <f t="shared" si="35"/>
        <v>1</v>
      </c>
      <c r="G210" s="11">
        <f t="shared" si="36"/>
        <v>1</v>
      </c>
      <c r="H210" s="11" t="str">
        <f t="shared" si="37"/>
        <v/>
      </c>
      <c r="I210" s="11">
        <f t="shared" si="38"/>
        <v>10</v>
      </c>
      <c r="J210" s="11">
        <v>1</v>
      </c>
      <c r="K210" s="11">
        <f t="shared" si="39"/>
        <v>1</v>
      </c>
      <c r="L210" s="11" t="str">
        <f>'DA - 56'!H34</f>
        <v xml:space="preserve">Aerobar Bolts: Top 25mm; Bottom 30mm </v>
      </c>
      <c r="M210" s="11" t="s">
        <v>11</v>
      </c>
    </row>
    <row r="211" spans="1:13" x14ac:dyDescent="0.25">
      <c r="A211" s="11">
        <f>'DA - 56'!C35</f>
        <v>460</v>
      </c>
      <c r="B211" s="11">
        <f>'DA - 56'!D35</f>
        <v>430</v>
      </c>
      <c r="C211" s="11">
        <f>'DA - 56'!E35</f>
        <v>510</v>
      </c>
      <c r="D211" s="11">
        <f>'DA - 56'!G35</f>
        <v>670</v>
      </c>
      <c r="E211" s="11" t="str">
        <f>'DA - 56'!B35</f>
        <v>Frame: 56 ----- Stem: 70x60  ----- Carbon Aerobar + 20 + bridge + 5</v>
      </c>
      <c r="F211" s="11">
        <f t="shared" si="35"/>
        <v>1</v>
      </c>
      <c r="G211" s="11" t="str">
        <f t="shared" si="36"/>
        <v/>
      </c>
      <c r="H211" s="11" t="str">
        <f t="shared" si="37"/>
        <v/>
      </c>
      <c r="I211" s="11">
        <f t="shared" si="38"/>
        <v>10</v>
      </c>
      <c r="J211" s="11">
        <v>1</v>
      </c>
      <c r="K211" s="11">
        <f t="shared" si="39"/>
        <v>1</v>
      </c>
      <c r="L211" s="11" t="str">
        <f>'DA - 56'!H35</f>
        <v xml:space="preserve">Aerobar Bolts: Top 30mm; Bottom 30mm </v>
      </c>
      <c r="M211" s="11" t="s">
        <v>11</v>
      </c>
    </row>
    <row r="212" spans="1:13" x14ac:dyDescent="0.25">
      <c r="A212" s="11">
        <f>'DA - 56'!C36</f>
        <v>460</v>
      </c>
      <c r="B212" s="11">
        <f>'DA - 56'!D36</f>
        <v>430</v>
      </c>
      <c r="C212" s="11">
        <f>'DA - 56'!E36</f>
        <v>510</v>
      </c>
      <c r="D212" s="11">
        <f>'DA - 56'!G36</f>
        <v>675</v>
      </c>
      <c r="E212" s="11" t="str">
        <f>'DA - 56'!B36</f>
        <v>Frame: 56 ----- Stem: 70x60  ----- Carbon Aerobar + 30 + bridge</v>
      </c>
      <c r="F212" s="11">
        <f t="shared" si="35"/>
        <v>1</v>
      </c>
      <c r="G212" s="11">
        <f t="shared" si="36"/>
        <v>1</v>
      </c>
      <c r="H212" s="11" t="str">
        <f t="shared" si="37"/>
        <v/>
      </c>
      <c r="I212" s="11">
        <f t="shared" si="38"/>
        <v>10</v>
      </c>
      <c r="J212" s="11">
        <v>1</v>
      </c>
      <c r="K212" s="11">
        <f t="shared" si="39"/>
        <v>1</v>
      </c>
      <c r="L212" s="11" t="str">
        <f>'DA - 56'!H36</f>
        <v xml:space="preserve">Aerobar Bolts: Top 30mm; Bottom 30mm </v>
      </c>
      <c r="M212" s="11" t="s">
        <v>11</v>
      </c>
    </row>
    <row r="213" spans="1:13" x14ac:dyDescent="0.25">
      <c r="A213" s="11">
        <f>'DA - 56'!C37</f>
        <v>460</v>
      </c>
      <c r="B213" s="11">
        <f>'DA - 56'!D37</f>
        <v>430</v>
      </c>
      <c r="C213" s="11">
        <f>'DA - 56'!E37</f>
        <v>510</v>
      </c>
      <c r="D213" s="11">
        <f>'DA - 56'!G37</f>
        <v>680</v>
      </c>
      <c r="E213" s="11" t="str">
        <f>'DA - 56'!B37</f>
        <v>Frame: 56 ----- Stem: 70x60  ----- Carbon Aerobar + 30 + bridge + 5</v>
      </c>
      <c r="F213" s="11">
        <f t="shared" si="35"/>
        <v>1</v>
      </c>
      <c r="G213" s="11">
        <f t="shared" si="36"/>
        <v>1</v>
      </c>
      <c r="H213" s="11" t="str">
        <f t="shared" si="37"/>
        <v/>
      </c>
      <c r="I213" s="11">
        <f t="shared" si="38"/>
        <v>10</v>
      </c>
      <c r="J213" s="11">
        <v>1</v>
      </c>
      <c r="K213" s="11">
        <f t="shared" si="39"/>
        <v>1</v>
      </c>
      <c r="L213" s="11" t="str">
        <f>'DA - 56'!H37</f>
        <v xml:space="preserve">Aerobar Bolts: Top 35mm; Bottom 30mm </v>
      </c>
      <c r="M213" s="11" t="s">
        <v>11</v>
      </c>
    </row>
    <row r="214" spans="1:13" x14ac:dyDescent="0.25">
      <c r="A214" s="11">
        <f>'DA - 56'!C38</f>
        <v>460</v>
      </c>
      <c r="B214" s="11">
        <f>'DA - 56'!D38</f>
        <v>430</v>
      </c>
      <c r="C214" s="11">
        <f>'DA - 56'!E38</f>
        <v>510</v>
      </c>
      <c r="D214" s="11">
        <f>'DA - 56'!G38</f>
        <v>685</v>
      </c>
      <c r="E214" s="11" t="str">
        <f>'DA - 56'!B38</f>
        <v>Frame: 56 ----- Stem: 70x60  ----- Carbon Aerobar + 40 + bridge</v>
      </c>
      <c r="F214" s="11">
        <f t="shared" si="35"/>
        <v>1</v>
      </c>
      <c r="G214" s="11" t="str">
        <f t="shared" si="36"/>
        <v/>
      </c>
      <c r="H214" s="11">
        <f t="shared" si="37"/>
        <v>1</v>
      </c>
      <c r="I214" s="11">
        <f t="shared" si="38"/>
        <v>10</v>
      </c>
      <c r="J214" s="11">
        <v>1</v>
      </c>
      <c r="K214" s="11">
        <f t="shared" si="39"/>
        <v>1</v>
      </c>
      <c r="L214" s="11" t="str">
        <f>'DA - 56'!H38</f>
        <v xml:space="preserve">Aerobar Bolts: Top 35mm; Bottom 30mm </v>
      </c>
      <c r="M214" s="11" t="s">
        <v>11</v>
      </c>
    </row>
    <row r="215" spans="1:13" x14ac:dyDescent="0.25">
      <c r="A215" s="11">
        <f>'DA - 56'!C39</f>
        <v>460</v>
      </c>
      <c r="B215" s="11">
        <f>'DA - 56'!D39</f>
        <v>430</v>
      </c>
      <c r="C215" s="11">
        <f>'DA - 56'!E39</f>
        <v>510</v>
      </c>
      <c r="D215" s="11">
        <f>'DA - 56'!G39</f>
        <v>690</v>
      </c>
      <c r="E215" s="11" t="str">
        <f>'DA - 56'!B39</f>
        <v>Frame: 56 ----- Stem: 70x60  ----- Carbon Aerobar + 40 + bridge + 5</v>
      </c>
      <c r="F215" s="11">
        <f t="shared" si="35"/>
        <v>1</v>
      </c>
      <c r="G215" s="11" t="str">
        <f t="shared" si="36"/>
        <v/>
      </c>
      <c r="H215" s="11">
        <f t="shared" si="37"/>
        <v>1</v>
      </c>
      <c r="I215" s="11">
        <f t="shared" si="38"/>
        <v>10</v>
      </c>
      <c r="J215" s="11">
        <v>1</v>
      </c>
      <c r="K215" s="11">
        <f t="shared" si="39"/>
        <v>1</v>
      </c>
      <c r="L215" s="11" t="str">
        <f>'DA - 56'!H39</f>
        <v xml:space="preserve">Aerobar Bolts: Top 35mm; Bottom 30mm </v>
      </c>
      <c r="M215" s="11" t="s">
        <v>11</v>
      </c>
    </row>
    <row r="216" spans="1:13" x14ac:dyDescent="0.25">
      <c r="A216" s="11">
        <f>'DA - 56'!C40</f>
        <v>460</v>
      </c>
      <c r="B216" s="11">
        <f>'DA - 56'!D40</f>
        <v>430</v>
      </c>
      <c r="C216" s="11">
        <f>'DA - 56'!E40</f>
        <v>510</v>
      </c>
      <c r="D216" s="11">
        <f>'DA - 56'!G40</f>
        <v>695</v>
      </c>
      <c r="E216" s="11" t="str">
        <f>'DA - 56'!B40</f>
        <v>Frame: 56 ----- Stem: 70x60  ----- Carbon Aerobar + 40 + bridge + 10</v>
      </c>
      <c r="F216" s="11">
        <f t="shared" si="35"/>
        <v>1</v>
      </c>
      <c r="G216" s="11" t="str">
        <f t="shared" si="36"/>
        <v/>
      </c>
      <c r="H216" s="11">
        <f t="shared" si="37"/>
        <v>1</v>
      </c>
      <c r="I216" s="11">
        <f t="shared" si="38"/>
        <v>10</v>
      </c>
      <c r="J216" s="11">
        <v>1</v>
      </c>
      <c r="K216" s="11">
        <f t="shared" si="39"/>
        <v>1</v>
      </c>
      <c r="L216" s="11" t="str">
        <f>'DA - 56'!H40</f>
        <v xml:space="preserve">Aerobar Bolts: Top 40mm; Bottom 30mm </v>
      </c>
      <c r="M216" s="11" t="s">
        <v>11</v>
      </c>
    </row>
    <row r="217" spans="1:13" x14ac:dyDescent="0.25">
      <c r="A217" s="11">
        <f>'DA - 56'!C41</f>
        <v>460</v>
      </c>
      <c r="B217" s="11">
        <f>'DA - 56'!D41</f>
        <v>430</v>
      </c>
      <c r="C217" s="11">
        <f>'DA - 56'!E41</f>
        <v>510</v>
      </c>
      <c r="D217" s="11">
        <f>'DA - 56'!G41</f>
        <v>700</v>
      </c>
      <c r="E217" s="11" t="str">
        <f>'DA - 56'!B41</f>
        <v>Frame: 56 ----- Stem: 70x60  ----- Carbon Aerobar + 40 + bridge + 10 + 5</v>
      </c>
      <c r="F217" s="11">
        <f t="shared" si="35"/>
        <v>1</v>
      </c>
      <c r="G217" s="11" t="str">
        <f t="shared" si="36"/>
        <v/>
      </c>
      <c r="H217" s="11">
        <f t="shared" si="37"/>
        <v>1</v>
      </c>
      <c r="I217" s="11">
        <f t="shared" si="38"/>
        <v>10</v>
      </c>
      <c r="J217" s="11">
        <v>1</v>
      </c>
      <c r="K217" s="11">
        <f t="shared" si="39"/>
        <v>1</v>
      </c>
      <c r="L217" s="11" t="str">
        <f>'DA - 56'!H41</f>
        <v xml:space="preserve">Aerobar Bolts: Top 45mm; Bottom 30mm </v>
      </c>
      <c r="M217" s="11" t="s">
        <v>11</v>
      </c>
    </row>
    <row r="218" spans="1:13" x14ac:dyDescent="0.25">
      <c r="A218" s="11">
        <f>'DA - 56'!C42</f>
        <v>500</v>
      </c>
      <c r="B218" s="11">
        <f>'DA - 56'!D42</f>
        <v>470</v>
      </c>
      <c r="C218" s="11">
        <f>'DA - 56'!E42</f>
        <v>550</v>
      </c>
      <c r="D218" s="11">
        <f>'DA - 56'!G42</f>
        <v>0</v>
      </c>
      <c r="E218" s="11" t="str">
        <f>'DA - 56'!B42</f>
        <v>Frame: 56 ----- Stem: 100x30  ----- Carbon Aerobar</v>
      </c>
      <c r="F218" s="11">
        <f t="shared" si="35"/>
        <v>1</v>
      </c>
      <c r="G218" s="11" t="str">
        <f t="shared" si="36"/>
        <v/>
      </c>
      <c r="H218" s="11" t="str">
        <f t="shared" si="37"/>
        <v/>
      </c>
      <c r="I218" s="11">
        <f t="shared" si="38"/>
        <v>-30</v>
      </c>
      <c r="J218" s="11">
        <v>1</v>
      </c>
      <c r="K218" s="11">
        <f t="shared" si="39"/>
        <v>1</v>
      </c>
      <c r="L218" s="11" t="str">
        <f>'DA - 56'!H42</f>
        <v xml:space="preserve">Aerobar Bolts: Top N/A; Bottom N/A </v>
      </c>
      <c r="M218" s="11" t="s">
        <v>11</v>
      </c>
    </row>
    <row r="219" spans="1:13" x14ac:dyDescent="0.25">
      <c r="A219" s="11">
        <f>'DA - 56'!C43</f>
        <v>500</v>
      </c>
      <c r="B219" s="11">
        <f>'DA - 56'!D43</f>
        <v>470</v>
      </c>
      <c r="C219" s="11">
        <f>'DA - 56'!E43</f>
        <v>550</v>
      </c>
      <c r="D219" s="11">
        <f>'DA - 56'!G43</f>
        <v>615</v>
      </c>
      <c r="E219" s="11" t="str">
        <f>'DA - 56'!B43</f>
        <v>Frame: 56 ----- Stem: 100x30  ----- Carbon Aerobar + 5</v>
      </c>
      <c r="F219" s="11">
        <f t="shared" si="35"/>
        <v>1</v>
      </c>
      <c r="G219" s="11" t="str">
        <f t="shared" si="36"/>
        <v/>
      </c>
      <c r="H219" s="11" t="str">
        <f t="shared" si="37"/>
        <v/>
      </c>
      <c r="I219" s="11">
        <f t="shared" si="38"/>
        <v>-30</v>
      </c>
      <c r="J219" s="11">
        <v>1</v>
      </c>
      <c r="K219" s="11">
        <f t="shared" si="39"/>
        <v>1</v>
      </c>
      <c r="L219" s="11" t="str">
        <f>'DA - 56'!H43</f>
        <v xml:space="preserve">Aerobar Bolts: Top 45mm; Bottom N/A </v>
      </c>
      <c r="M219" s="11" t="s">
        <v>11</v>
      </c>
    </row>
    <row r="220" spans="1:13" x14ac:dyDescent="0.25">
      <c r="A220" s="11">
        <f>'DA - 56'!C44</f>
        <v>500</v>
      </c>
      <c r="B220" s="11">
        <f>'DA - 56'!D44</f>
        <v>470</v>
      </c>
      <c r="C220" s="11">
        <f>'DA - 56'!E44</f>
        <v>550</v>
      </c>
      <c r="D220" s="11">
        <f>'DA - 56'!G44</f>
        <v>620</v>
      </c>
      <c r="E220" s="11" t="str">
        <f>'DA - 56'!B44</f>
        <v>Frame: 56 ----- Stem: 100x30  ----- Carbon Aerobar + 10</v>
      </c>
      <c r="F220" s="11">
        <f t="shared" si="35"/>
        <v>1</v>
      </c>
      <c r="G220" s="11" t="str">
        <f t="shared" si="36"/>
        <v/>
      </c>
      <c r="H220" s="11" t="str">
        <f t="shared" si="37"/>
        <v/>
      </c>
      <c r="I220" s="11">
        <f t="shared" si="38"/>
        <v>-30</v>
      </c>
      <c r="J220" s="11">
        <v>1</v>
      </c>
      <c r="K220" s="11">
        <f t="shared" si="39"/>
        <v>1</v>
      </c>
      <c r="L220" s="11" t="str">
        <f>'DA - 56'!H44</f>
        <v xml:space="preserve">Aerobar Bolts: Top 50mm; Bottom N/A </v>
      </c>
      <c r="M220" s="11" t="s">
        <v>11</v>
      </c>
    </row>
    <row r="221" spans="1:13" x14ac:dyDescent="0.25">
      <c r="A221" s="11">
        <f>'DA - 56'!C45</f>
        <v>500</v>
      </c>
      <c r="B221" s="11">
        <f>'DA - 56'!D45</f>
        <v>470</v>
      </c>
      <c r="C221" s="11">
        <f>'DA - 56'!E45</f>
        <v>550</v>
      </c>
      <c r="D221" s="11">
        <f>'DA - 56'!G45</f>
        <v>625</v>
      </c>
      <c r="E221" s="11" t="str">
        <f>'DA - 56'!B45</f>
        <v>Frame: 56 ----- Stem: 100x30  ----- Carbon Aerobar + 5 + 10</v>
      </c>
      <c r="F221" s="11">
        <f t="shared" si="35"/>
        <v>1</v>
      </c>
      <c r="G221" s="11" t="str">
        <f t="shared" si="36"/>
        <v/>
      </c>
      <c r="H221" s="11" t="str">
        <f t="shared" si="37"/>
        <v/>
      </c>
      <c r="I221" s="11">
        <f t="shared" si="38"/>
        <v>-30</v>
      </c>
      <c r="J221" s="11">
        <v>1</v>
      </c>
      <c r="K221" s="11">
        <f t="shared" si="39"/>
        <v>1</v>
      </c>
      <c r="L221" s="11" t="str">
        <f>'DA - 56'!H45</f>
        <v xml:space="preserve">Aerobar Bolts: Top 55mm; Bottom N/A </v>
      </c>
      <c r="M221" s="11" t="s">
        <v>11</v>
      </c>
    </row>
    <row r="222" spans="1:13" x14ac:dyDescent="0.25">
      <c r="A222" s="11">
        <f>'DA - 56'!C46</f>
        <v>500</v>
      </c>
      <c r="B222" s="11">
        <f>'DA - 56'!D46</f>
        <v>470</v>
      </c>
      <c r="C222" s="11">
        <f>'DA - 56'!E46</f>
        <v>550</v>
      </c>
      <c r="D222" s="11">
        <f>'DA - 56'!G46</f>
        <v>630</v>
      </c>
      <c r="E222" s="11" t="str">
        <f>'DA - 56'!B46</f>
        <v>Frame: 56 ----- Stem: 100x30  ----- Carbon Aerobar + 20</v>
      </c>
      <c r="F222" s="11">
        <f t="shared" si="35"/>
        <v>1</v>
      </c>
      <c r="G222" s="11" t="str">
        <f t="shared" si="36"/>
        <v/>
      </c>
      <c r="H222" s="11" t="str">
        <f t="shared" si="37"/>
        <v/>
      </c>
      <c r="I222" s="11">
        <f t="shared" si="38"/>
        <v>-30</v>
      </c>
      <c r="J222" s="11">
        <v>1</v>
      </c>
      <c r="K222" s="11">
        <f t="shared" si="39"/>
        <v>1</v>
      </c>
      <c r="L222" s="11" t="str">
        <f>'DA - 56'!H46</f>
        <v xml:space="preserve">Aerobar Bolts: Top 20mm; Bottom 30mm </v>
      </c>
      <c r="M222" s="11" t="s">
        <v>11</v>
      </c>
    </row>
    <row r="223" spans="1:13" x14ac:dyDescent="0.25">
      <c r="A223" s="11">
        <f>'DA - 56'!C47</f>
        <v>500</v>
      </c>
      <c r="B223" s="11">
        <f>'DA - 56'!D47</f>
        <v>470</v>
      </c>
      <c r="C223" s="11">
        <f>'DA - 56'!E47</f>
        <v>550</v>
      </c>
      <c r="D223" s="11">
        <f>'DA - 56'!G47</f>
        <v>635</v>
      </c>
      <c r="E223" s="11" t="str">
        <f>'DA - 56'!B47</f>
        <v>Frame: 56 ----- Stem: 100x30  ----- Carbon Aerobar + 20 + 5</v>
      </c>
      <c r="F223" s="11">
        <f t="shared" si="35"/>
        <v>1</v>
      </c>
      <c r="G223" s="11" t="str">
        <f t="shared" si="36"/>
        <v/>
      </c>
      <c r="H223" s="11" t="str">
        <f t="shared" si="37"/>
        <v/>
      </c>
      <c r="I223" s="11">
        <f t="shared" si="38"/>
        <v>-30</v>
      </c>
      <c r="J223" s="11">
        <v>1</v>
      </c>
      <c r="K223" s="11">
        <f t="shared" si="39"/>
        <v>1</v>
      </c>
      <c r="L223" s="11" t="str">
        <f>'DA - 56'!H47</f>
        <v xml:space="preserve">Aerobar Bolts: Top 25mm; Bottom 30mm </v>
      </c>
      <c r="M223" s="11" t="s">
        <v>11</v>
      </c>
    </row>
    <row r="224" spans="1:13" x14ac:dyDescent="0.25">
      <c r="A224" s="11">
        <f>'DA - 56'!C48</f>
        <v>500</v>
      </c>
      <c r="B224" s="11">
        <f>'DA - 56'!D48</f>
        <v>470</v>
      </c>
      <c r="C224" s="11">
        <f>'DA - 56'!E48</f>
        <v>550</v>
      </c>
      <c r="D224" s="11">
        <f>'DA - 56'!G48</f>
        <v>635</v>
      </c>
      <c r="E224" s="11" t="str">
        <f>'DA - 56'!B48</f>
        <v>Frame: 56 ----- Stem: 100x30  ----- Carbon Aerobar + 20 + bridge</v>
      </c>
      <c r="F224" s="11">
        <f t="shared" si="35"/>
        <v>1</v>
      </c>
      <c r="G224" s="11" t="str">
        <f t="shared" si="36"/>
        <v/>
      </c>
      <c r="H224" s="11" t="str">
        <f t="shared" si="37"/>
        <v/>
      </c>
      <c r="I224" s="11">
        <f t="shared" si="38"/>
        <v>-30</v>
      </c>
      <c r="J224" s="11">
        <v>1</v>
      </c>
      <c r="K224" s="11">
        <f t="shared" si="39"/>
        <v>1</v>
      </c>
      <c r="L224" s="11" t="str">
        <f>'DA - 56'!H48</f>
        <v xml:space="preserve">Aerobar Bolts: Top 25mm; Bottom 30mm </v>
      </c>
      <c r="M224" s="11" t="s">
        <v>11</v>
      </c>
    </row>
    <row r="225" spans="1:13" x14ac:dyDescent="0.25">
      <c r="A225" s="11">
        <f>'DA - 56'!C49</f>
        <v>500</v>
      </c>
      <c r="B225" s="11">
        <f>'DA - 56'!D49</f>
        <v>470</v>
      </c>
      <c r="C225" s="11">
        <f>'DA - 56'!E49</f>
        <v>550</v>
      </c>
      <c r="D225" s="11">
        <f>'DA - 56'!G49</f>
        <v>640</v>
      </c>
      <c r="E225" s="11" t="str">
        <f>'DA - 56'!B49</f>
        <v>Frame: 56 ----- Stem: 100x30  ----- Carbon Aerobar + 30</v>
      </c>
      <c r="F225" s="11">
        <f t="shared" si="35"/>
        <v>1</v>
      </c>
      <c r="G225" s="11">
        <f t="shared" si="36"/>
        <v>1</v>
      </c>
      <c r="H225" s="11" t="str">
        <f t="shared" si="37"/>
        <v/>
      </c>
      <c r="I225" s="11">
        <f t="shared" si="38"/>
        <v>-30</v>
      </c>
      <c r="J225" s="11">
        <v>1</v>
      </c>
      <c r="K225" s="11">
        <f t="shared" si="39"/>
        <v>1</v>
      </c>
      <c r="L225" s="11" t="str">
        <f>'DA - 56'!H49</f>
        <v xml:space="preserve">Aerobar Bolts: Top 25mm; Bottom 30mm </v>
      </c>
      <c r="M225" s="11" t="s">
        <v>11</v>
      </c>
    </row>
    <row r="226" spans="1:13" x14ac:dyDescent="0.25">
      <c r="A226" s="11">
        <f>'DA - 56'!C50</f>
        <v>500</v>
      </c>
      <c r="B226" s="11">
        <f>'DA - 56'!D50</f>
        <v>470</v>
      </c>
      <c r="C226" s="11">
        <f>'DA - 56'!E50</f>
        <v>550</v>
      </c>
      <c r="D226" s="11">
        <f>'DA - 56'!G50</f>
        <v>640</v>
      </c>
      <c r="E226" s="11" t="str">
        <f>'DA - 56'!B50</f>
        <v>Frame: 56 ----- Stem: 100x30  ----- Carbon Aerobar + 20 + bridge + 5</v>
      </c>
      <c r="F226" s="11">
        <f t="shared" si="35"/>
        <v>1</v>
      </c>
      <c r="G226" s="11" t="str">
        <f t="shared" si="36"/>
        <v/>
      </c>
      <c r="H226" s="11" t="str">
        <f t="shared" si="37"/>
        <v/>
      </c>
      <c r="I226" s="11">
        <f t="shared" si="38"/>
        <v>-30</v>
      </c>
      <c r="J226" s="11">
        <v>1</v>
      </c>
      <c r="K226" s="11">
        <f t="shared" si="39"/>
        <v>1</v>
      </c>
      <c r="L226" s="11" t="str">
        <f>'DA - 56'!H50</f>
        <v xml:space="preserve">Aerobar Bolts: Top 30mm; Bottom 30mm </v>
      </c>
      <c r="M226" s="11" t="s">
        <v>11</v>
      </c>
    </row>
    <row r="227" spans="1:13" x14ac:dyDescent="0.25">
      <c r="A227" s="11">
        <f>'DA - 56'!C51</f>
        <v>500</v>
      </c>
      <c r="B227" s="11">
        <f>'DA - 56'!D51</f>
        <v>470</v>
      </c>
      <c r="C227" s="11">
        <f>'DA - 56'!E51</f>
        <v>550</v>
      </c>
      <c r="D227" s="11">
        <f>'DA - 56'!G51</f>
        <v>645</v>
      </c>
      <c r="E227" s="11" t="str">
        <f>'DA - 56'!B51</f>
        <v>Frame: 56 ----- Stem: 100x30  ----- Carbon Aerobar + 30 + bridge</v>
      </c>
      <c r="F227" s="11">
        <f t="shared" si="35"/>
        <v>1</v>
      </c>
      <c r="G227" s="11">
        <f t="shared" si="36"/>
        <v>1</v>
      </c>
      <c r="H227" s="11" t="str">
        <f t="shared" si="37"/>
        <v/>
      </c>
      <c r="I227" s="11">
        <f t="shared" si="38"/>
        <v>-30</v>
      </c>
      <c r="J227" s="11">
        <v>1</v>
      </c>
      <c r="K227" s="11">
        <f t="shared" si="39"/>
        <v>1</v>
      </c>
      <c r="L227" s="11" t="str">
        <f>'DA - 56'!H51</f>
        <v xml:space="preserve">Aerobar Bolts: Top 30mm; Bottom 30mm </v>
      </c>
      <c r="M227" s="11" t="s">
        <v>11</v>
      </c>
    </row>
    <row r="228" spans="1:13" x14ac:dyDescent="0.25">
      <c r="A228" s="11">
        <f>'DA - 56'!C52</f>
        <v>500</v>
      </c>
      <c r="B228" s="11">
        <f>'DA - 56'!D52</f>
        <v>470</v>
      </c>
      <c r="C228" s="11">
        <f>'DA - 56'!E52</f>
        <v>550</v>
      </c>
      <c r="D228" s="11">
        <f>'DA - 56'!G52</f>
        <v>650</v>
      </c>
      <c r="E228" s="11" t="str">
        <f>'DA - 56'!B52</f>
        <v>Frame: 56 ----- Stem: 100x30  ----- Carbon Aerobar + 30 + bridge + 5</v>
      </c>
      <c r="F228" s="11">
        <f t="shared" si="35"/>
        <v>1</v>
      </c>
      <c r="G228" s="11">
        <f t="shared" si="36"/>
        <v>1</v>
      </c>
      <c r="H228" s="11" t="str">
        <f t="shared" si="37"/>
        <v/>
      </c>
      <c r="I228" s="11">
        <f t="shared" si="38"/>
        <v>-30</v>
      </c>
      <c r="J228" s="11">
        <v>1</v>
      </c>
      <c r="K228" s="11">
        <f t="shared" si="39"/>
        <v>1</v>
      </c>
      <c r="L228" s="11" t="str">
        <f>'DA - 56'!H52</f>
        <v xml:space="preserve">Aerobar Bolts: Top 35mm; Bottom 30mm </v>
      </c>
      <c r="M228" s="11" t="s">
        <v>11</v>
      </c>
    </row>
    <row r="229" spans="1:13" x14ac:dyDescent="0.25">
      <c r="A229" s="11">
        <f>'DA - 56'!C53</f>
        <v>500</v>
      </c>
      <c r="B229" s="11">
        <f>'DA - 56'!D53</f>
        <v>470</v>
      </c>
      <c r="C229" s="11">
        <f>'DA - 56'!E53</f>
        <v>550</v>
      </c>
      <c r="D229" s="11">
        <f>'DA - 56'!G53</f>
        <v>655</v>
      </c>
      <c r="E229" s="11" t="str">
        <f>'DA - 56'!B53</f>
        <v>Frame: 56 ----- Stem: 100x30  ----- Carbon Aerobar + 40 + bridge</v>
      </c>
      <c r="F229" s="11">
        <f t="shared" si="35"/>
        <v>1</v>
      </c>
      <c r="G229" s="11" t="str">
        <f t="shared" si="36"/>
        <v/>
      </c>
      <c r="H229" s="11">
        <f t="shared" si="37"/>
        <v>1</v>
      </c>
      <c r="I229" s="11">
        <f t="shared" si="38"/>
        <v>-30</v>
      </c>
      <c r="J229" s="11">
        <v>1</v>
      </c>
      <c r="K229" s="11">
        <f t="shared" si="39"/>
        <v>1</v>
      </c>
      <c r="L229" s="11" t="str">
        <f>'DA - 56'!H53</f>
        <v xml:space="preserve">Aerobar Bolts: Top 35mm; Bottom 30mm </v>
      </c>
      <c r="M229" s="11" t="s">
        <v>11</v>
      </c>
    </row>
    <row r="230" spans="1:13" x14ac:dyDescent="0.25">
      <c r="A230" s="11">
        <f>'DA - 56'!C54</f>
        <v>500</v>
      </c>
      <c r="B230" s="11">
        <f>'DA - 56'!D54</f>
        <v>470</v>
      </c>
      <c r="C230" s="11">
        <f>'DA - 56'!E54</f>
        <v>550</v>
      </c>
      <c r="D230" s="11">
        <f>'DA - 56'!G54</f>
        <v>660</v>
      </c>
      <c r="E230" s="11" t="str">
        <f>'DA - 56'!B54</f>
        <v>Frame: 56 ----- Stem: 100x30  ----- Carbon Aerobar + 40 + bridge + 5</v>
      </c>
      <c r="F230" s="11">
        <f t="shared" si="35"/>
        <v>1</v>
      </c>
      <c r="G230" s="11" t="str">
        <f t="shared" si="36"/>
        <v/>
      </c>
      <c r="H230" s="11">
        <f t="shared" si="37"/>
        <v>1</v>
      </c>
      <c r="I230" s="11">
        <f t="shared" si="38"/>
        <v>-30</v>
      </c>
      <c r="J230" s="11">
        <v>1</v>
      </c>
      <c r="K230" s="11">
        <f t="shared" si="39"/>
        <v>1</v>
      </c>
      <c r="L230" s="11" t="str">
        <f>'DA - 56'!H54</f>
        <v xml:space="preserve">Aerobar Bolts: Top 35mm; Bottom 30mm </v>
      </c>
      <c r="M230" s="11" t="s">
        <v>11</v>
      </c>
    </row>
    <row r="231" spans="1:13" x14ac:dyDescent="0.25">
      <c r="A231" s="11">
        <f>'DA - 56'!C55</f>
        <v>500</v>
      </c>
      <c r="B231" s="11">
        <f>'DA - 56'!D55</f>
        <v>470</v>
      </c>
      <c r="C231" s="11">
        <f>'DA - 56'!E55</f>
        <v>550</v>
      </c>
      <c r="D231" s="11">
        <f>'DA - 56'!G55</f>
        <v>665</v>
      </c>
      <c r="E231" s="11" t="str">
        <f>'DA - 56'!B55</f>
        <v>Frame: 56 ----- Stem: 100x30  ----- Carbon Aerobar + 40 + bridge + 10</v>
      </c>
      <c r="F231" s="11">
        <f t="shared" si="35"/>
        <v>1</v>
      </c>
      <c r="G231" s="11" t="str">
        <f t="shared" si="36"/>
        <v/>
      </c>
      <c r="H231" s="11">
        <f t="shared" si="37"/>
        <v>1</v>
      </c>
      <c r="I231" s="11">
        <f t="shared" si="38"/>
        <v>-30</v>
      </c>
      <c r="J231" s="11">
        <v>1</v>
      </c>
      <c r="K231" s="11">
        <f t="shared" si="39"/>
        <v>1</v>
      </c>
      <c r="L231" s="11" t="str">
        <f>'DA - 56'!H55</f>
        <v xml:space="preserve">Aerobar Bolts: Top 40mm; Bottom 30mm </v>
      </c>
      <c r="M231" s="11" t="s">
        <v>11</v>
      </c>
    </row>
    <row r="232" spans="1:13" x14ac:dyDescent="0.25">
      <c r="A232" s="11">
        <f>'DA - 56'!C56</f>
        <v>500</v>
      </c>
      <c r="B232" s="11">
        <f>'DA - 56'!D56</f>
        <v>470</v>
      </c>
      <c r="C232" s="11">
        <f>'DA - 56'!E56</f>
        <v>550</v>
      </c>
      <c r="D232" s="11">
        <f>'DA - 56'!G56</f>
        <v>670</v>
      </c>
      <c r="E232" s="11" t="str">
        <f>'DA - 56'!B56</f>
        <v>Frame: 56 ----- Stem: 100x30  ----- Carbon Aerobar + 40 + bridge + 10 + 5</v>
      </c>
      <c r="F232" s="11">
        <f t="shared" si="35"/>
        <v>1</v>
      </c>
      <c r="G232" s="11" t="str">
        <f t="shared" si="36"/>
        <v/>
      </c>
      <c r="H232" s="11">
        <f t="shared" si="37"/>
        <v>1</v>
      </c>
      <c r="I232" s="11">
        <f t="shared" si="38"/>
        <v>-30</v>
      </c>
      <c r="J232" s="11">
        <v>1</v>
      </c>
      <c r="K232" s="11">
        <f t="shared" si="39"/>
        <v>1</v>
      </c>
      <c r="L232" s="11" t="str">
        <f>'DA - 56'!H56</f>
        <v xml:space="preserve">Aerobar Bolts: Top 45mm; Bottom 30mm </v>
      </c>
      <c r="M232" s="11" t="s">
        <v>11</v>
      </c>
    </row>
    <row r="233" spans="1:13" x14ac:dyDescent="0.25">
      <c r="A233" s="11">
        <f>'DA - 56'!C57</f>
        <v>490</v>
      </c>
      <c r="B233" s="11">
        <f>'DA - 56'!D57</f>
        <v>460</v>
      </c>
      <c r="C233" s="11">
        <f>'DA - 56'!E57</f>
        <v>540</v>
      </c>
      <c r="D233" s="11">
        <f>'DA - 56'!G57</f>
        <v>0</v>
      </c>
      <c r="E233" s="11" t="str">
        <f>'DA - 56'!B57</f>
        <v>Frame: 56 ----- Stem: 100x60  ----- Carbon Aerobar</v>
      </c>
      <c r="F233" s="11">
        <f t="shared" si="35"/>
        <v>1</v>
      </c>
      <c r="G233" s="11" t="str">
        <f t="shared" si="36"/>
        <v/>
      </c>
      <c r="H233" s="11" t="str">
        <f t="shared" si="37"/>
        <v/>
      </c>
      <c r="I233" s="11">
        <f t="shared" si="38"/>
        <v>-20</v>
      </c>
      <c r="J233" s="11">
        <v>1</v>
      </c>
      <c r="K233" s="11">
        <f t="shared" si="39"/>
        <v>1</v>
      </c>
      <c r="L233" s="11" t="str">
        <f>'DA - 56'!H57</f>
        <v xml:space="preserve">Aerobar Bolts: Top N/A; Bottom N/A </v>
      </c>
      <c r="M233" s="11" t="s">
        <v>11</v>
      </c>
    </row>
    <row r="234" spans="1:13" x14ac:dyDescent="0.25">
      <c r="A234" s="11">
        <f>'DA - 56'!C58</f>
        <v>490</v>
      </c>
      <c r="B234" s="11">
        <f>'DA - 56'!D58</f>
        <v>460</v>
      </c>
      <c r="C234" s="11">
        <f>'DA - 56'!E58</f>
        <v>540</v>
      </c>
      <c r="D234" s="11">
        <f>'DA - 56'!G58</f>
        <v>645</v>
      </c>
      <c r="E234" s="11" t="str">
        <f>'DA - 56'!B58</f>
        <v>Frame: 56 ----- Stem: 100x60  ----- Carbon Aerobar + 5</v>
      </c>
      <c r="F234" s="11">
        <f t="shared" si="35"/>
        <v>1</v>
      </c>
      <c r="G234" s="11" t="str">
        <f t="shared" si="36"/>
        <v/>
      </c>
      <c r="H234" s="11" t="str">
        <f t="shared" si="37"/>
        <v/>
      </c>
      <c r="I234" s="11">
        <f t="shared" si="38"/>
        <v>-20</v>
      </c>
      <c r="J234" s="11">
        <v>1</v>
      </c>
      <c r="K234" s="11">
        <f t="shared" si="39"/>
        <v>1</v>
      </c>
      <c r="L234" s="11" t="str">
        <f>'DA - 56'!H58</f>
        <v xml:space="preserve">Aerobar Bolts: Top 45mm; Bottom N/A </v>
      </c>
      <c r="M234" s="11" t="s">
        <v>11</v>
      </c>
    </row>
    <row r="235" spans="1:13" x14ac:dyDescent="0.25">
      <c r="A235" s="11">
        <f>'DA - 56'!C59</f>
        <v>490</v>
      </c>
      <c r="B235" s="11">
        <f>'DA - 56'!D59</f>
        <v>460</v>
      </c>
      <c r="C235" s="11">
        <f>'DA - 56'!E59</f>
        <v>540</v>
      </c>
      <c r="D235" s="11">
        <f>'DA - 56'!G59</f>
        <v>650</v>
      </c>
      <c r="E235" s="11" t="str">
        <f>'DA - 56'!B59</f>
        <v>Frame: 56 ----- Stem: 100x60  ----- Carbon Aerobar + 10</v>
      </c>
      <c r="F235" s="11">
        <f t="shared" si="35"/>
        <v>1</v>
      </c>
      <c r="G235" s="11" t="str">
        <f t="shared" si="36"/>
        <v/>
      </c>
      <c r="H235" s="11" t="str">
        <f t="shared" si="37"/>
        <v/>
      </c>
      <c r="I235" s="11">
        <f t="shared" si="38"/>
        <v>-20</v>
      </c>
      <c r="J235" s="11">
        <v>1</v>
      </c>
      <c r="K235" s="11">
        <f t="shared" si="39"/>
        <v>1</v>
      </c>
      <c r="L235" s="11" t="str">
        <f>'DA - 56'!H59</f>
        <v xml:space="preserve">Aerobar Bolts: Top 50mm; Bottom N/A </v>
      </c>
      <c r="M235" s="11" t="s">
        <v>11</v>
      </c>
    </row>
    <row r="236" spans="1:13" x14ac:dyDescent="0.25">
      <c r="A236" s="11">
        <f>'DA - 56'!C60</f>
        <v>490</v>
      </c>
      <c r="B236" s="11">
        <f>'DA - 56'!D60</f>
        <v>460</v>
      </c>
      <c r="C236" s="11">
        <f>'DA - 56'!E60</f>
        <v>540</v>
      </c>
      <c r="D236" s="11">
        <f>'DA - 56'!G60</f>
        <v>655</v>
      </c>
      <c r="E236" s="11" t="str">
        <f>'DA - 56'!B60</f>
        <v>Frame: 56 ----- Stem: 100x60  ----- Carbon Aerobar + 5 + 10</v>
      </c>
      <c r="F236" s="11">
        <f t="shared" si="35"/>
        <v>1</v>
      </c>
      <c r="G236" s="11" t="str">
        <f t="shared" si="36"/>
        <v/>
      </c>
      <c r="H236" s="11" t="str">
        <f t="shared" si="37"/>
        <v/>
      </c>
      <c r="I236" s="11">
        <f t="shared" si="38"/>
        <v>-20</v>
      </c>
      <c r="J236" s="11">
        <v>1</v>
      </c>
      <c r="K236" s="11">
        <f t="shared" si="39"/>
        <v>1</v>
      </c>
      <c r="L236" s="11" t="str">
        <f>'DA - 56'!H60</f>
        <v xml:space="preserve">Aerobar Bolts: Top 55mm; Bottom N/A </v>
      </c>
      <c r="M236" s="11" t="s">
        <v>11</v>
      </c>
    </row>
    <row r="237" spans="1:13" x14ac:dyDescent="0.25">
      <c r="A237" s="11">
        <f>'DA - 56'!C61</f>
        <v>490</v>
      </c>
      <c r="B237" s="11">
        <f>'DA - 56'!D61</f>
        <v>460</v>
      </c>
      <c r="C237" s="11">
        <f>'DA - 56'!E61</f>
        <v>540</v>
      </c>
      <c r="D237" s="11">
        <f>'DA - 56'!G61</f>
        <v>660</v>
      </c>
      <c r="E237" s="11" t="str">
        <f>'DA - 56'!B61</f>
        <v>Frame: 56 ----- Stem: 100x60  ----- Carbon Aerobar + 20</v>
      </c>
      <c r="F237" s="11">
        <f t="shared" si="35"/>
        <v>1</v>
      </c>
      <c r="G237" s="11" t="str">
        <f t="shared" si="36"/>
        <v/>
      </c>
      <c r="H237" s="11" t="str">
        <f t="shared" si="37"/>
        <v/>
      </c>
      <c r="I237" s="11">
        <f t="shared" si="38"/>
        <v>-20</v>
      </c>
      <c r="J237" s="11">
        <v>1</v>
      </c>
      <c r="K237" s="11">
        <f t="shared" si="39"/>
        <v>1</v>
      </c>
      <c r="L237" s="11" t="str">
        <f>'DA - 56'!H61</f>
        <v xml:space="preserve">Aerobar Bolts: Top 20mm; Bottom 30mm </v>
      </c>
      <c r="M237" s="11" t="s">
        <v>11</v>
      </c>
    </row>
    <row r="238" spans="1:13" x14ac:dyDescent="0.25">
      <c r="A238" s="11">
        <f>'DA - 56'!C62</f>
        <v>490</v>
      </c>
      <c r="B238" s="11">
        <f>'DA - 56'!D62</f>
        <v>460</v>
      </c>
      <c r="C238" s="11">
        <f>'DA - 56'!E62</f>
        <v>540</v>
      </c>
      <c r="D238" s="11">
        <f>'DA - 56'!G62</f>
        <v>665</v>
      </c>
      <c r="E238" s="11" t="str">
        <f>'DA - 56'!B62</f>
        <v>Frame: 56 ----- Stem: 100x60  ----- Carbon Aerobar + 20 + 5</v>
      </c>
      <c r="F238" s="11">
        <f t="shared" si="35"/>
        <v>1</v>
      </c>
      <c r="G238" s="11" t="str">
        <f t="shared" si="36"/>
        <v/>
      </c>
      <c r="H238" s="11" t="str">
        <f t="shared" si="37"/>
        <v/>
      </c>
      <c r="I238" s="11">
        <f t="shared" si="38"/>
        <v>-20</v>
      </c>
      <c r="J238" s="11">
        <v>1</v>
      </c>
      <c r="K238" s="11">
        <f t="shared" si="39"/>
        <v>1</v>
      </c>
      <c r="L238" s="11" t="str">
        <f>'DA - 56'!H62</f>
        <v xml:space="preserve">Aerobar Bolts: Top 25mm; Bottom 30mm </v>
      </c>
      <c r="M238" s="11" t="s">
        <v>11</v>
      </c>
    </row>
    <row r="239" spans="1:13" x14ac:dyDescent="0.25">
      <c r="A239" s="11">
        <f>'DA - 56'!C63</f>
        <v>490</v>
      </c>
      <c r="B239" s="11">
        <f>'DA - 56'!D63</f>
        <v>460</v>
      </c>
      <c r="C239" s="11">
        <f>'DA - 56'!E63</f>
        <v>540</v>
      </c>
      <c r="D239" s="11">
        <f>'DA - 56'!G63</f>
        <v>665</v>
      </c>
      <c r="E239" s="11" t="str">
        <f>'DA - 56'!B63</f>
        <v>Frame: 56 ----- Stem: 100x60  ----- Carbon Aerobar + 20 + bridge</v>
      </c>
      <c r="F239" s="11">
        <f t="shared" si="35"/>
        <v>1</v>
      </c>
      <c r="G239" s="11" t="str">
        <f t="shared" si="36"/>
        <v/>
      </c>
      <c r="H239" s="11" t="str">
        <f t="shared" si="37"/>
        <v/>
      </c>
      <c r="I239" s="11">
        <f t="shared" si="38"/>
        <v>-20</v>
      </c>
      <c r="J239" s="11">
        <v>1</v>
      </c>
      <c r="K239" s="11">
        <f t="shared" si="39"/>
        <v>1</v>
      </c>
      <c r="L239" s="11" t="str">
        <f>'DA - 56'!H63</f>
        <v xml:space="preserve">Aerobar Bolts: Top 25mm; Bottom 30mm </v>
      </c>
      <c r="M239" s="11" t="s">
        <v>11</v>
      </c>
    </row>
    <row r="240" spans="1:13" x14ac:dyDescent="0.25">
      <c r="A240" s="11">
        <f>'DA - 56'!C64</f>
        <v>490</v>
      </c>
      <c r="B240" s="11">
        <f>'DA - 56'!D64</f>
        <v>460</v>
      </c>
      <c r="C240" s="11">
        <f>'DA - 56'!E64</f>
        <v>540</v>
      </c>
      <c r="D240" s="11">
        <f>'DA - 56'!G64</f>
        <v>670</v>
      </c>
      <c r="E240" s="11" t="str">
        <f>'DA - 56'!B64</f>
        <v>Frame: 56 ----- Stem: 100x60  ----- Carbon Aerobar + 30</v>
      </c>
      <c r="F240" s="11">
        <f t="shared" si="35"/>
        <v>1</v>
      </c>
      <c r="G240" s="11">
        <f t="shared" si="36"/>
        <v>1</v>
      </c>
      <c r="H240" s="11" t="str">
        <f t="shared" si="37"/>
        <v/>
      </c>
      <c r="I240" s="11">
        <f t="shared" si="38"/>
        <v>-20</v>
      </c>
      <c r="J240" s="11">
        <v>1</v>
      </c>
      <c r="K240" s="11">
        <f t="shared" si="39"/>
        <v>1</v>
      </c>
      <c r="L240" s="11" t="str">
        <f>'DA - 56'!H64</f>
        <v xml:space="preserve">Aerobar Bolts: Top 25mm; Bottom 30mm </v>
      </c>
      <c r="M240" s="11" t="s">
        <v>11</v>
      </c>
    </row>
    <row r="241" spans="1:13" x14ac:dyDescent="0.25">
      <c r="A241" s="11">
        <f>'DA - 56'!C65</f>
        <v>490</v>
      </c>
      <c r="B241" s="11">
        <f>'DA - 56'!D65</f>
        <v>460</v>
      </c>
      <c r="C241" s="11">
        <f>'DA - 56'!E65</f>
        <v>540</v>
      </c>
      <c r="D241" s="11">
        <f>'DA - 56'!G65</f>
        <v>670</v>
      </c>
      <c r="E241" s="11" t="str">
        <f>'DA - 56'!B65</f>
        <v>Frame: 56 ----- Stem: 100x60  ----- Carbon Aerobar + 20 + bridge + 5</v>
      </c>
      <c r="F241" s="11">
        <f t="shared" si="35"/>
        <v>1</v>
      </c>
      <c r="G241" s="11" t="str">
        <f t="shared" si="36"/>
        <v/>
      </c>
      <c r="H241" s="11" t="str">
        <f t="shared" si="37"/>
        <v/>
      </c>
      <c r="I241" s="11">
        <f t="shared" si="38"/>
        <v>-20</v>
      </c>
      <c r="J241" s="11">
        <v>1</v>
      </c>
      <c r="K241" s="11">
        <f t="shared" si="39"/>
        <v>1</v>
      </c>
      <c r="L241" s="11" t="str">
        <f>'DA - 56'!H65</f>
        <v xml:space="preserve">Aerobar Bolts: Top 30mm; Bottom 30mm </v>
      </c>
      <c r="M241" s="11" t="s">
        <v>11</v>
      </c>
    </row>
    <row r="242" spans="1:13" x14ac:dyDescent="0.25">
      <c r="A242" s="11">
        <f>'DA - 56'!C66</f>
        <v>490</v>
      </c>
      <c r="B242" s="11">
        <f>'DA - 56'!D66</f>
        <v>460</v>
      </c>
      <c r="C242" s="11">
        <f>'DA - 56'!E66</f>
        <v>540</v>
      </c>
      <c r="D242" s="11">
        <f>'DA - 56'!G66</f>
        <v>675</v>
      </c>
      <c r="E242" s="11" t="str">
        <f>'DA - 56'!B66</f>
        <v>Frame: 56 ----- Stem: 100x60  ----- Carbon Aerobar + 30 + bridge</v>
      </c>
      <c r="F242" s="11">
        <f t="shared" si="35"/>
        <v>1</v>
      </c>
      <c r="G242" s="11">
        <f t="shared" si="36"/>
        <v>1</v>
      </c>
      <c r="H242" s="11" t="str">
        <f t="shared" si="37"/>
        <v/>
      </c>
      <c r="I242" s="11">
        <f t="shared" si="38"/>
        <v>-20</v>
      </c>
      <c r="J242" s="11">
        <v>1</v>
      </c>
      <c r="K242" s="11">
        <f t="shared" si="39"/>
        <v>1</v>
      </c>
      <c r="L242" s="11" t="str">
        <f>'DA - 56'!H66</f>
        <v xml:space="preserve">Aerobar Bolts: Top 30mm; Bottom 30mm </v>
      </c>
      <c r="M242" s="11" t="s">
        <v>11</v>
      </c>
    </row>
    <row r="243" spans="1:13" x14ac:dyDescent="0.25">
      <c r="A243" s="11">
        <f>'DA - 56'!C67</f>
        <v>490</v>
      </c>
      <c r="B243" s="11">
        <f>'DA - 56'!D67</f>
        <v>460</v>
      </c>
      <c r="C243" s="11">
        <f>'DA - 56'!E67</f>
        <v>540</v>
      </c>
      <c r="D243" s="11">
        <f>'DA - 56'!G67</f>
        <v>680</v>
      </c>
      <c r="E243" s="11" t="str">
        <f>'DA - 56'!B67</f>
        <v>Frame: 56 ----- Stem: 100x60  ----- Carbon Aerobar + 30 + bridge + 5</v>
      </c>
      <c r="F243" s="11">
        <f t="shared" si="35"/>
        <v>1</v>
      </c>
      <c r="G243" s="11">
        <f t="shared" si="36"/>
        <v>1</v>
      </c>
      <c r="H243" s="11" t="str">
        <f t="shared" si="37"/>
        <v/>
      </c>
      <c r="I243" s="11">
        <f t="shared" si="38"/>
        <v>-20</v>
      </c>
      <c r="J243" s="11">
        <v>1</v>
      </c>
      <c r="K243" s="11">
        <f t="shared" si="39"/>
        <v>1</v>
      </c>
      <c r="L243" s="11" t="str">
        <f>'DA - 56'!H67</f>
        <v xml:space="preserve">Aerobar Bolts: Top 35mm; Bottom 30mm </v>
      </c>
      <c r="M243" s="11" t="s">
        <v>11</v>
      </c>
    </row>
    <row r="244" spans="1:13" x14ac:dyDescent="0.25">
      <c r="A244" s="11">
        <f>'DA - 56'!C68</f>
        <v>490</v>
      </c>
      <c r="B244" s="11">
        <f>'DA - 56'!D68</f>
        <v>460</v>
      </c>
      <c r="C244" s="11">
        <f>'DA - 56'!E68</f>
        <v>540</v>
      </c>
      <c r="D244" s="11">
        <f>'DA - 56'!G68</f>
        <v>685</v>
      </c>
      <c r="E244" s="11" t="str">
        <f>'DA - 56'!B68</f>
        <v>Frame: 56 ----- Stem: 100x60  ----- Carbon Aerobar + 40 + bridge</v>
      </c>
      <c r="F244" s="11">
        <f t="shared" si="35"/>
        <v>1</v>
      </c>
      <c r="G244" s="11" t="str">
        <f t="shared" si="36"/>
        <v/>
      </c>
      <c r="H244" s="11">
        <f t="shared" si="37"/>
        <v>1</v>
      </c>
      <c r="I244" s="11">
        <f t="shared" si="38"/>
        <v>-20</v>
      </c>
      <c r="J244" s="11">
        <v>1</v>
      </c>
      <c r="K244" s="11">
        <f t="shared" si="39"/>
        <v>1</v>
      </c>
      <c r="L244" s="11" t="str">
        <f>'DA - 56'!H68</f>
        <v xml:space="preserve">Aerobar Bolts: Top 35mm; Bottom 30mm </v>
      </c>
      <c r="M244" s="11" t="s">
        <v>11</v>
      </c>
    </row>
    <row r="245" spans="1:13" x14ac:dyDescent="0.25">
      <c r="A245" s="11">
        <f>'DA - 56'!C69</f>
        <v>490</v>
      </c>
      <c r="B245" s="11">
        <f>'DA - 56'!D69</f>
        <v>460</v>
      </c>
      <c r="C245" s="11">
        <f>'DA - 56'!E69</f>
        <v>540</v>
      </c>
      <c r="D245" s="11">
        <f>'DA - 56'!G69</f>
        <v>690</v>
      </c>
      <c r="E245" s="11" t="str">
        <f>'DA - 56'!B69</f>
        <v>Frame: 56 ----- Stem: 100x60  ----- Carbon Aerobar + 40 + bridge + 5</v>
      </c>
      <c r="F245" s="11">
        <f t="shared" si="35"/>
        <v>1</v>
      </c>
      <c r="G245" s="11" t="str">
        <f t="shared" si="36"/>
        <v/>
      </c>
      <c r="H245" s="11">
        <f t="shared" si="37"/>
        <v>1</v>
      </c>
      <c r="I245" s="11">
        <f t="shared" si="38"/>
        <v>-20</v>
      </c>
      <c r="J245" s="11">
        <v>1</v>
      </c>
      <c r="K245" s="11">
        <f t="shared" si="39"/>
        <v>1</v>
      </c>
      <c r="L245" s="11" t="str">
        <f>'DA - 56'!H69</f>
        <v xml:space="preserve">Aerobar Bolts: Top 35mm; Bottom 30mm </v>
      </c>
      <c r="M245" s="11" t="s">
        <v>11</v>
      </c>
    </row>
    <row r="246" spans="1:13" x14ac:dyDescent="0.25">
      <c r="A246" s="11">
        <f>'DA - 56'!C70</f>
        <v>490</v>
      </c>
      <c r="B246" s="11">
        <f>'DA - 56'!D70</f>
        <v>460</v>
      </c>
      <c r="C246" s="11">
        <f>'DA - 56'!E70</f>
        <v>540</v>
      </c>
      <c r="D246" s="11">
        <f>'DA - 56'!G70</f>
        <v>695</v>
      </c>
      <c r="E246" s="11" t="str">
        <f>'DA - 56'!B70</f>
        <v>Frame: 56 ----- Stem: 100x60  ----- Carbon Aerobar + 40 + bridge + 10</v>
      </c>
      <c r="F246" s="11">
        <f t="shared" si="35"/>
        <v>1</v>
      </c>
      <c r="G246" s="11" t="str">
        <f t="shared" si="36"/>
        <v/>
      </c>
      <c r="H246" s="11">
        <f t="shared" si="37"/>
        <v>1</v>
      </c>
      <c r="I246" s="11">
        <f t="shared" si="38"/>
        <v>-20</v>
      </c>
      <c r="J246" s="11">
        <v>1</v>
      </c>
      <c r="K246" s="11">
        <f t="shared" si="39"/>
        <v>1</v>
      </c>
      <c r="L246" s="11" t="str">
        <f>'DA - 56'!H70</f>
        <v xml:space="preserve">Aerobar Bolts: Top 40mm; Bottom 30mm </v>
      </c>
      <c r="M246" s="11" t="s">
        <v>11</v>
      </c>
    </row>
    <row r="247" spans="1:13" x14ac:dyDescent="0.25">
      <c r="A247" s="11">
        <f>'DA - 56'!C71</f>
        <v>490</v>
      </c>
      <c r="B247" s="11">
        <f>'DA - 56'!D71</f>
        <v>460</v>
      </c>
      <c r="C247" s="11">
        <f>'DA - 56'!E71</f>
        <v>540</v>
      </c>
      <c r="D247" s="11">
        <f>'DA - 56'!G71</f>
        <v>700</v>
      </c>
      <c r="E247" s="11" t="str">
        <f>'DA - 56'!B71</f>
        <v>Frame: 56 ----- Stem: 100x60  ----- Carbon Aerobar + 40 + bridge + 10 + 5</v>
      </c>
      <c r="F247" s="11">
        <f t="shared" si="35"/>
        <v>1</v>
      </c>
      <c r="G247" s="11" t="str">
        <f t="shared" si="36"/>
        <v/>
      </c>
      <c r="H247" s="11">
        <f t="shared" si="37"/>
        <v>1</v>
      </c>
      <c r="I247" s="11">
        <f t="shared" si="38"/>
        <v>-20</v>
      </c>
      <c r="J247" s="11">
        <v>1</v>
      </c>
      <c r="K247" s="11">
        <f t="shared" si="39"/>
        <v>1</v>
      </c>
      <c r="L247" s="11" t="str">
        <f>'DA - 56'!H71</f>
        <v xml:space="preserve">Aerobar Bolts: Top 45mm; Bottom 30mm </v>
      </c>
      <c r="M247" s="11" t="s">
        <v>11</v>
      </c>
    </row>
    <row r="248" spans="1:13" x14ac:dyDescent="0.25">
      <c r="A248" s="11">
        <f>'DA - 56'!C72</f>
        <v>495</v>
      </c>
      <c r="B248" s="11">
        <f>'DA - 56'!D72</f>
        <v>465</v>
      </c>
      <c r="C248" s="11">
        <f>'DA - 56'!E72</f>
        <v>545</v>
      </c>
      <c r="D248" s="11">
        <f>'DA - 56'!G72</f>
        <v>0</v>
      </c>
      <c r="E248" s="11" t="str">
        <f>'DA - 56'!B72</f>
        <v>Frame: 56 ----- Stem: 90x0  ----- Carbon Aerobar</v>
      </c>
      <c r="F248" s="11">
        <f t="shared" si="35"/>
        <v>1</v>
      </c>
      <c r="G248" s="11" t="str">
        <f t="shared" si="36"/>
        <v/>
      </c>
      <c r="H248" s="11" t="str">
        <f t="shared" si="37"/>
        <v/>
      </c>
      <c r="I248" s="11">
        <f t="shared" si="38"/>
        <v>-25</v>
      </c>
      <c r="J248" s="11">
        <v>1</v>
      </c>
      <c r="K248" s="11">
        <f t="shared" si="39"/>
        <v>1</v>
      </c>
      <c r="L248" s="11" t="str">
        <f>'DA - 56'!H72</f>
        <v xml:space="preserve">Aerobar Bolts: Top N/A; Bottom N/A </v>
      </c>
      <c r="M248" s="11" t="s">
        <v>11</v>
      </c>
    </row>
    <row r="249" spans="1:13" x14ac:dyDescent="0.25">
      <c r="A249" s="11">
        <f>'DA - 56'!C73</f>
        <v>495</v>
      </c>
      <c r="B249" s="11">
        <f>'DA - 56'!D73</f>
        <v>465</v>
      </c>
      <c r="C249" s="11">
        <f>'DA - 56'!E73</f>
        <v>545</v>
      </c>
      <c r="D249" s="11">
        <f>'DA - 56'!G73</f>
        <v>585</v>
      </c>
      <c r="E249" s="11" t="str">
        <f>'DA - 56'!B73</f>
        <v>Frame: 56 ----- Stem: 90x0  ----- Carbon Aerobar + 5</v>
      </c>
      <c r="F249" s="11">
        <f t="shared" si="35"/>
        <v>1</v>
      </c>
      <c r="G249" s="11" t="str">
        <f t="shared" si="36"/>
        <v/>
      </c>
      <c r="H249" s="11" t="str">
        <f t="shared" si="37"/>
        <v/>
      </c>
      <c r="I249" s="11">
        <f t="shared" si="38"/>
        <v>-25</v>
      </c>
      <c r="J249" s="11">
        <v>1</v>
      </c>
      <c r="K249" s="11">
        <f t="shared" si="39"/>
        <v>1</v>
      </c>
      <c r="L249" s="11" t="str">
        <f>'DA - 56'!H73</f>
        <v xml:space="preserve">Aerobar Bolts: Top 45mm; Bottom N/A </v>
      </c>
      <c r="M249" s="11" t="s">
        <v>11</v>
      </c>
    </row>
    <row r="250" spans="1:13" x14ac:dyDescent="0.25">
      <c r="A250" s="11">
        <f>'DA - 56'!C74</f>
        <v>495</v>
      </c>
      <c r="B250" s="11">
        <f>'DA - 56'!D74</f>
        <v>465</v>
      </c>
      <c r="C250" s="11">
        <f>'DA - 56'!E74</f>
        <v>545</v>
      </c>
      <c r="D250" s="11">
        <f>'DA - 56'!G74</f>
        <v>590</v>
      </c>
      <c r="E250" s="11" t="str">
        <f>'DA - 56'!B74</f>
        <v>Frame: 56 ----- Stem: 90x0  ----- Carbon Aerobar + 10</v>
      </c>
      <c r="F250" s="11">
        <f t="shared" si="35"/>
        <v>1</v>
      </c>
      <c r="G250" s="11" t="str">
        <f t="shared" si="36"/>
        <v/>
      </c>
      <c r="H250" s="11" t="str">
        <f t="shared" si="37"/>
        <v/>
      </c>
      <c r="I250" s="11">
        <f t="shared" si="38"/>
        <v>-25</v>
      </c>
      <c r="J250" s="11">
        <v>1</v>
      </c>
      <c r="K250" s="11">
        <f t="shared" si="39"/>
        <v>1</v>
      </c>
      <c r="L250" s="11" t="str">
        <f>'DA - 56'!H74</f>
        <v xml:space="preserve">Aerobar Bolts: Top 50mm; Bottom N/A </v>
      </c>
      <c r="M250" s="11" t="s">
        <v>11</v>
      </c>
    </row>
    <row r="251" spans="1:13" x14ac:dyDescent="0.25">
      <c r="A251" s="11">
        <f>'DA - 56'!C75</f>
        <v>495</v>
      </c>
      <c r="B251" s="11">
        <f>'DA - 56'!D75</f>
        <v>465</v>
      </c>
      <c r="C251" s="11">
        <f>'DA - 56'!E75</f>
        <v>545</v>
      </c>
      <c r="D251" s="11">
        <f>'DA - 56'!G75</f>
        <v>595</v>
      </c>
      <c r="E251" s="11" t="str">
        <f>'DA - 56'!B75</f>
        <v>Frame: 56 ----- Stem: 90x0  ----- Carbon Aerobar + 5 + 10</v>
      </c>
      <c r="F251" s="11">
        <f t="shared" si="35"/>
        <v>1</v>
      </c>
      <c r="G251" s="11" t="str">
        <f t="shared" si="36"/>
        <v/>
      </c>
      <c r="H251" s="11" t="str">
        <f t="shared" si="37"/>
        <v/>
      </c>
      <c r="I251" s="11">
        <f t="shared" si="38"/>
        <v>-25</v>
      </c>
      <c r="J251" s="11">
        <v>1</v>
      </c>
      <c r="K251" s="11">
        <f t="shared" si="39"/>
        <v>1</v>
      </c>
      <c r="L251" s="11" t="str">
        <f>'DA - 56'!H75</f>
        <v xml:space="preserve">Aerobar Bolts: Top 55mm; Bottom N/A </v>
      </c>
      <c r="M251" s="11" t="s">
        <v>11</v>
      </c>
    </row>
    <row r="252" spans="1:13" x14ac:dyDescent="0.25">
      <c r="A252" s="11">
        <f>'DA - 56'!C76</f>
        <v>495</v>
      </c>
      <c r="B252" s="11">
        <f>'DA - 56'!D76</f>
        <v>465</v>
      </c>
      <c r="C252" s="11">
        <f>'DA - 56'!E76</f>
        <v>545</v>
      </c>
      <c r="D252" s="11">
        <f>'DA - 56'!G76</f>
        <v>600</v>
      </c>
      <c r="E252" s="11" t="str">
        <f>'DA - 56'!B76</f>
        <v>Frame: 56 ----- Stem: 90x0  ----- Carbon Aerobar + 20</v>
      </c>
      <c r="F252" s="11">
        <f t="shared" si="35"/>
        <v>1</v>
      </c>
      <c r="G252" s="11" t="str">
        <f t="shared" si="36"/>
        <v/>
      </c>
      <c r="H252" s="11" t="str">
        <f t="shared" si="37"/>
        <v/>
      </c>
      <c r="I252" s="11">
        <f t="shared" si="38"/>
        <v>-25</v>
      </c>
      <c r="J252" s="11">
        <v>1</v>
      </c>
      <c r="K252" s="11">
        <f t="shared" si="39"/>
        <v>1</v>
      </c>
      <c r="L252" s="11" t="str">
        <f>'DA - 56'!H76</f>
        <v xml:space="preserve">Aerobar Bolts: Top 20mm; Bottom 30mm </v>
      </c>
      <c r="M252" s="11" t="s">
        <v>11</v>
      </c>
    </row>
    <row r="253" spans="1:13" x14ac:dyDescent="0.25">
      <c r="A253" s="11">
        <f>'DA - 56'!C77</f>
        <v>495</v>
      </c>
      <c r="B253" s="11">
        <f>'DA - 56'!D77</f>
        <v>465</v>
      </c>
      <c r="C253" s="11">
        <f>'DA - 56'!E77</f>
        <v>545</v>
      </c>
      <c r="D253" s="11">
        <f>'DA - 56'!G77</f>
        <v>605</v>
      </c>
      <c r="E253" s="11" t="str">
        <f>'DA - 56'!B77</f>
        <v>Frame: 56 ----- Stem: 90x0  ----- Carbon Aerobar + 20 + 5</v>
      </c>
      <c r="F253" s="11">
        <f t="shared" si="35"/>
        <v>1</v>
      </c>
      <c r="G253" s="11" t="str">
        <f t="shared" si="36"/>
        <v/>
      </c>
      <c r="H253" s="11" t="str">
        <f t="shared" si="37"/>
        <v/>
      </c>
      <c r="I253" s="11">
        <f t="shared" si="38"/>
        <v>-25</v>
      </c>
      <c r="J253" s="11">
        <v>1</v>
      </c>
      <c r="K253" s="11">
        <f t="shared" si="39"/>
        <v>1</v>
      </c>
      <c r="L253" s="11" t="str">
        <f>'DA - 56'!H77</f>
        <v xml:space="preserve">Aerobar Bolts: Top 25mm; Bottom 30mm </v>
      </c>
      <c r="M253" s="11" t="s">
        <v>11</v>
      </c>
    </row>
    <row r="254" spans="1:13" x14ac:dyDescent="0.25">
      <c r="A254" s="11">
        <f>'DA - 56'!C78</f>
        <v>495</v>
      </c>
      <c r="B254" s="11">
        <f>'DA - 56'!D78</f>
        <v>465</v>
      </c>
      <c r="C254" s="11">
        <f>'DA - 56'!E78</f>
        <v>545</v>
      </c>
      <c r="D254" s="11">
        <f>'DA - 56'!G78</f>
        <v>605</v>
      </c>
      <c r="E254" s="11" t="str">
        <f>'DA - 56'!B78</f>
        <v>Frame: 56 ----- Stem: 90x0  ----- Carbon Aerobar + 20 + bridge</v>
      </c>
      <c r="F254" s="11">
        <f t="shared" si="35"/>
        <v>1</v>
      </c>
      <c r="G254" s="11" t="str">
        <f t="shared" si="36"/>
        <v/>
      </c>
      <c r="H254" s="11" t="str">
        <f t="shared" si="37"/>
        <v/>
      </c>
      <c r="I254" s="11">
        <f t="shared" si="38"/>
        <v>-25</v>
      </c>
      <c r="J254" s="11">
        <v>1</v>
      </c>
      <c r="K254" s="11">
        <f t="shared" si="39"/>
        <v>1</v>
      </c>
      <c r="L254" s="11" t="str">
        <f>'DA - 56'!H78</f>
        <v xml:space="preserve">Aerobar Bolts: Top 25mm; Bottom 30mm </v>
      </c>
      <c r="M254" s="11" t="s">
        <v>11</v>
      </c>
    </row>
    <row r="255" spans="1:13" x14ac:dyDescent="0.25">
      <c r="A255" s="11">
        <f>'DA - 56'!C79</f>
        <v>495</v>
      </c>
      <c r="B255" s="11">
        <f>'DA - 56'!D79</f>
        <v>465</v>
      </c>
      <c r="C255" s="11">
        <f>'DA - 56'!E79</f>
        <v>545</v>
      </c>
      <c r="D255" s="11">
        <f>'DA - 56'!G79</f>
        <v>610</v>
      </c>
      <c r="E255" s="11" t="str">
        <f>'DA - 56'!B79</f>
        <v>Frame: 56 ----- Stem: 90x0  ----- Carbon Aerobar + 30</v>
      </c>
      <c r="F255" s="11">
        <f t="shared" si="35"/>
        <v>1</v>
      </c>
      <c r="G255" s="11">
        <f t="shared" si="36"/>
        <v>1</v>
      </c>
      <c r="H255" s="11" t="str">
        <f t="shared" si="37"/>
        <v/>
      </c>
      <c r="I255" s="11">
        <f t="shared" si="38"/>
        <v>-25</v>
      </c>
      <c r="J255" s="11">
        <v>1</v>
      </c>
      <c r="K255" s="11">
        <f t="shared" si="39"/>
        <v>1</v>
      </c>
      <c r="L255" s="11" t="str">
        <f>'DA - 56'!H79</f>
        <v xml:space="preserve">Aerobar Bolts: Top 25mm; Bottom 30mm </v>
      </c>
      <c r="M255" s="11" t="s">
        <v>11</v>
      </c>
    </row>
    <row r="256" spans="1:13" x14ac:dyDescent="0.25">
      <c r="A256" s="11">
        <f>'DA - 56'!C80</f>
        <v>495</v>
      </c>
      <c r="B256" s="11">
        <f>'DA - 56'!D80</f>
        <v>465</v>
      </c>
      <c r="C256" s="11">
        <f>'DA - 56'!E80</f>
        <v>545</v>
      </c>
      <c r="D256" s="11">
        <f>'DA - 56'!G80</f>
        <v>610</v>
      </c>
      <c r="E256" s="11" t="str">
        <f>'DA - 56'!B80</f>
        <v>Frame: 56 ----- Stem: 90x0  ----- Carbon Aerobar + 20 + bridge + 5</v>
      </c>
      <c r="F256" s="11">
        <f t="shared" si="35"/>
        <v>1</v>
      </c>
      <c r="G256" s="11" t="str">
        <f t="shared" si="36"/>
        <v/>
      </c>
      <c r="H256" s="11" t="str">
        <f t="shared" si="37"/>
        <v/>
      </c>
      <c r="I256" s="11">
        <f t="shared" si="38"/>
        <v>-25</v>
      </c>
      <c r="J256" s="11">
        <v>1</v>
      </c>
      <c r="K256" s="11">
        <f t="shared" si="39"/>
        <v>1</v>
      </c>
      <c r="L256" s="11" t="str">
        <f>'DA - 56'!H80</f>
        <v xml:space="preserve">Aerobar Bolts: Top 30mm; Bottom 30mm </v>
      </c>
      <c r="M256" s="11" t="s">
        <v>11</v>
      </c>
    </row>
    <row r="257" spans="1:13" x14ac:dyDescent="0.25">
      <c r="A257" s="11">
        <f>'DA - 56'!C81</f>
        <v>495</v>
      </c>
      <c r="B257" s="11">
        <f>'DA - 56'!D81</f>
        <v>465</v>
      </c>
      <c r="C257" s="11">
        <f>'DA - 56'!E81</f>
        <v>545</v>
      </c>
      <c r="D257" s="11">
        <f>'DA - 56'!G81</f>
        <v>615</v>
      </c>
      <c r="E257" s="11" t="str">
        <f>'DA - 56'!B81</f>
        <v>Frame: 56 ----- Stem: 90x0  ----- Carbon Aerobar + 30 + bridge</v>
      </c>
      <c r="F257" s="11">
        <f t="shared" ref="F257:F320" si="40">IF(AND($F$5&gt;=B257,$F$5&lt;=C257),1,"")</f>
        <v>1</v>
      </c>
      <c r="G257" s="11">
        <f t="shared" si="36"/>
        <v>1</v>
      </c>
      <c r="H257" s="11" t="str">
        <f t="shared" si="37"/>
        <v/>
      </c>
      <c r="I257" s="11">
        <f t="shared" si="38"/>
        <v>-25</v>
      </c>
      <c r="J257" s="11">
        <v>1</v>
      </c>
      <c r="K257" s="11">
        <f t="shared" si="39"/>
        <v>1</v>
      </c>
      <c r="L257" s="11" t="str">
        <f>'DA - 56'!H81</f>
        <v xml:space="preserve">Aerobar Bolts: Top 30mm; Bottom 30mm </v>
      </c>
      <c r="M257" s="11" t="s">
        <v>11</v>
      </c>
    </row>
    <row r="258" spans="1:13" x14ac:dyDescent="0.25">
      <c r="A258" s="11">
        <f>'DA - 56'!C82</f>
        <v>495</v>
      </c>
      <c r="B258" s="11">
        <f>'DA - 56'!D82</f>
        <v>465</v>
      </c>
      <c r="C258" s="11">
        <f>'DA - 56'!E82</f>
        <v>545</v>
      </c>
      <c r="D258" s="11">
        <f>'DA - 56'!G82</f>
        <v>620</v>
      </c>
      <c r="E258" s="11" t="str">
        <f>'DA - 56'!B82</f>
        <v>Frame: 56 ----- Stem: 90x0  ----- Carbon Aerobar + 30 + bridge + 5</v>
      </c>
      <c r="F258" s="11">
        <f t="shared" si="40"/>
        <v>1</v>
      </c>
      <c r="G258" s="11">
        <f t="shared" si="36"/>
        <v>1</v>
      </c>
      <c r="H258" s="11" t="str">
        <f t="shared" si="37"/>
        <v/>
      </c>
      <c r="I258" s="11">
        <f t="shared" si="38"/>
        <v>-25</v>
      </c>
      <c r="J258" s="11">
        <v>1</v>
      </c>
      <c r="K258" s="11">
        <f t="shared" si="39"/>
        <v>1</v>
      </c>
      <c r="L258" s="11" t="str">
        <f>'DA - 56'!H82</f>
        <v xml:space="preserve">Aerobar Bolts: Top 35mm; Bottom 30mm </v>
      </c>
      <c r="M258" s="11" t="s">
        <v>11</v>
      </c>
    </row>
    <row r="259" spans="1:13" x14ac:dyDescent="0.25">
      <c r="A259" s="11">
        <f>'DA - 56'!C83</f>
        <v>495</v>
      </c>
      <c r="B259" s="11">
        <f>'DA - 56'!D83</f>
        <v>465</v>
      </c>
      <c r="C259" s="11">
        <f>'DA - 56'!E83</f>
        <v>545</v>
      </c>
      <c r="D259" s="11">
        <f>'DA - 56'!G83</f>
        <v>625</v>
      </c>
      <c r="E259" s="11" t="str">
        <f>'DA - 56'!B83</f>
        <v>Frame: 56 ----- Stem: 90x0  ----- Carbon Aerobar + 40 + bridge</v>
      </c>
      <c r="F259" s="11">
        <f t="shared" si="40"/>
        <v>1</v>
      </c>
      <c r="G259" s="11" t="str">
        <f t="shared" si="36"/>
        <v/>
      </c>
      <c r="H259" s="11">
        <f t="shared" si="37"/>
        <v>1</v>
      </c>
      <c r="I259" s="11">
        <f t="shared" si="38"/>
        <v>-25</v>
      </c>
      <c r="J259" s="11">
        <v>1</v>
      </c>
      <c r="K259" s="11">
        <f t="shared" si="39"/>
        <v>1</v>
      </c>
      <c r="L259" s="11" t="str">
        <f>'DA - 56'!H83</f>
        <v xml:space="preserve">Aerobar Bolts: Top 35mm; Bottom 30mm </v>
      </c>
      <c r="M259" s="11" t="s">
        <v>11</v>
      </c>
    </row>
    <row r="260" spans="1:13" x14ac:dyDescent="0.25">
      <c r="A260" s="11">
        <f>'DA - 56'!C84</f>
        <v>495</v>
      </c>
      <c r="B260" s="11">
        <f>'DA - 56'!D84</f>
        <v>465</v>
      </c>
      <c r="C260" s="11">
        <f>'DA - 56'!E84</f>
        <v>545</v>
      </c>
      <c r="D260" s="11">
        <f>'DA - 56'!G84</f>
        <v>630</v>
      </c>
      <c r="E260" s="11" t="str">
        <f>'DA - 56'!B84</f>
        <v>Frame: 56 ----- Stem: 90x0  ----- Carbon Aerobar + 40 + bridge + 5</v>
      </c>
      <c r="F260" s="11">
        <f t="shared" si="40"/>
        <v>1</v>
      </c>
      <c r="G260" s="11" t="str">
        <f t="shared" si="36"/>
        <v/>
      </c>
      <c r="H260" s="11">
        <f t="shared" si="37"/>
        <v>1</v>
      </c>
      <c r="I260" s="11">
        <f t="shared" si="38"/>
        <v>-25</v>
      </c>
      <c r="J260" s="11">
        <v>1</v>
      </c>
      <c r="K260" s="11">
        <f t="shared" si="39"/>
        <v>1</v>
      </c>
      <c r="L260" s="11" t="str">
        <f>'DA - 56'!H84</f>
        <v xml:space="preserve">Aerobar Bolts: Top 35mm; Bottom 30mm </v>
      </c>
      <c r="M260" s="11" t="s">
        <v>11</v>
      </c>
    </row>
    <row r="261" spans="1:13" x14ac:dyDescent="0.25">
      <c r="A261" s="11">
        <f>'DA - 56'!C85</f>
        <v>495</v>
      </c>
      <c r="B261" s="11">
        <f>'DA - 56'!D85</f>
        <v>465</v>
      </c>
      <c r="C261" s="11">
        <f>'DA - 56'!E85</f>
        <v>545</v>
      </c>
      <c r="D261" s="11">
        <f>'DA - 56'!G85</f>
        <v>635</v>
      </c>
      <c r="E261" s="11" t="str">
        <f>'DA - 56'!B85</f>
        <v>Frame: 56 ----- Stem: 90x0  ----- Carbon Aerobar + 40 + bridge + 10</v>
      </c>
      <c r="F261" s="11">
        <f t="shared" si="40"/>
        <v>1</v>
      </c>
      <c r="G261" s="11" t="str">
        <f t="shared" si="36"/>
        <v/>
      </c>
      <c r="H261" s="11">
        <f t="shared" si="37"/>
        <v>1</v>
      </c>
      <c r="I261" s="11">
        <f t="shared" si="38"/>
        <v>-25</v>
      </c>
      <c r="J261" s="11">
        <v>1</v>
      </c>
      <c r="K261" s="11">
        <f t="shared" si="39"/>
        <v>1</v>
      </c>
      <c r="L261" s="11" t="str">
        <f>'DA - 56'!H85</f>
        <v xml:space="preserve">Aerobar Bolts: Top 40mm; Bottom 30mm </v>
      </c>
      <c r="M261" s="11" t="s">
        <v>11</v>
      </c>
    </row>
    <row r="262" spans="1:13" x14ac:dyDescent="0.25">
      <c r="A262" s="11">
        <f>'DA - 56'!C86</f>
        <v>495</v>
      </c>
      <c r="B262" s="11">
        <f>'DA - 56'!D86</f>
        <v>465</v>
      </c>
      <c r="C262" s="11">
        <f>'DA - 56'!E86</f>
        <v>545</v>
      </c>
      <c r="D262" s="11">
        <f>'DA - 56'!G86</f>
        <v>640</v>
      </c>
      <c r="E262" s="11" t="str">
        <f>'DA - 56'!B86</f>
        <v>Frame: 56 ----- Stem: 90x0  ----- Carbon Aerobar + 40 + bridge + 10 + 5</v>
      </c>
      <c r="F262" s="11">
        <f t="shared" si="40"/>
        <v>1</v>
      </c>
      <c r="G262" s="11" t="str">
        <f t="shared" si="36"/>
        <v/>
      </c>
      <c r="H262" s="11">
        <f t="shared" si="37"/>
        <v>1</v>
      </c>
      <c r="I262" s="11">
        <f t="shared" si="38"/>
        <v>-25</v>
      </c>
      <c r="J262" s="11">
        <v>1</v>
      </c>
      <c r="K262" s="11">
        <f t="shared" si="39"/>
        <v>1</v>
      </c>
      <c r="L262" s="11" t="str">
        <f>'DA - 56'!H86</f>
        <v xml:space="preserve">Aerobar Bolts: Top 45mm; Bottom 30mm </v>
      </c>
      <c r="M262" s="11" t="s">
        <v>11</v>
      </c>
    </row>
    <row r="263" spans="1:13" x14ac:dyDescent="0.25">
      <c r="A263" s="11">
        <f>'DA - 56'!C87</f>
        <v>515</v>
      </c>
      <c r="B263" s="11">
        <f>'DA - 56'!D87</f>
        <v>485</v>
      </c>
      <c r="C263" s="11">
        <f>'DA - 56'!E87</f>
        <v>565</v>
      </c>
      <c r="D263" s="11">
        <f>'DA - 56'!G87</f>
        <v>0</v>
      </c>
      <c r="E263" s="11" t="str">
        <f>'DA - 56'!B87</f>
        <v>Frame: 56 ----- Stem: 110x0  ----- Carbon Aerobar</v>
      </c>
      <c r="F263" s="11" t="str">
        <f t="shared" si="40"/>
        <v/>
      </c>
      <c r="G263" s="11" t="str">
        <f t="shared" si="36"/>
        <v/>
      </c>
      <c r="H263" s="11" t="str">
        <f t="shared" si="37"/>
        <v/>
      </c>
      <c r="I263" s="11">
        <f t="shared" si="38"/>
        <v>-45</v>
      </c>
      <c r="J263" s="11">
        <v>1</v>
      </c>
      <c r="K263" s="11">
        <f t="shared" si="39"/>
        <v>1</v>
      </c>
      <c r="L263" s="11" t="str">
        <f>'DA - 56'!H87</f>
        <v xml:space="preserve">Aerobar Bolts: Top N/A; Bottom N/A </v>
      </c>
      <c r="M263" s="11" t="s">
        <v>11</v>
      </c>
    </row>
    <row r="264" spans="1:13" x14ac:dyDescent="0.25">
      <c r="A264" s="11">
        <f>'DA - 56'!C88</f>
        <v>515</v>
      </c>
      <c r="B264" s="11">
        <f>'DA - 56'!D88</f>
        <v>485</v>
      </c>
      <c r="C264" s="11">
        <f>'DA - 56'!E88</f>
        <v>565</v>
      </c>
      <c r="D264" s="11">
        <f>'DA - 56'!G88</f>
        <v>585</v>
      </c>
      <c r="E264" s="11" t="str">
        <f>'DA - 56'!B88</f>
        <v>Frame: 56 ----- Stem: 110x0  ----- Carbon Aerobar + 5</v>
      </c>
      <c r="F264" s="11" t="str">
        <f t="shared" si="40"/>
        <v/>
      </c>
      <c r="G264" s="11" t="str">
        <f t="shared" si="36"/>
        <v/>
      </c>
      <c r="H264" s="11" t="str">
        <f t="shared" si="37"/>
        <v/>
      </c>
      <c r="I264" s="11">
        <f t="shared" si="38"/>
        <v>-45</v>
      </c>
      <c r="J264" s="11">
        <v>1</v>
      </c>
      <c r="K264" s="11">
        <f t="shared" si="39"/>
        <v>1</v>
      </c>
      <c r="L264" s="11" t="str">
        <f>'DA - 56'!H88</f>
        <v xml:space="preserve">Aerobar Bolts: Top 45mm; Bottom N/A </v>
      </c>
      <c r="M264" s="11" t="s">
        <v>11</v>
      </c>
    </row>
    <row r="265" spans="1:13" x14ac:dyDescent="0.25">
      <c r="A265" s="11">
        <f>'DA - 56'!C89</f>
        <v>515</v>
      </c>
      <c r="B265" s="11">
        <f>'DA - 56'!D89</f>
        <v>485</v>
      </c>
      <c r="C265" s="11">
        <f>'DA - 56'!E89</f>
        <v>565</v>
      </c>
      <c r="D265" s="11">
        <f>'DA - 56'!G89</f>
        <v>590</v>
      </c>
      <c r="E265" s="11" t="str">
        <f>'DA - 56'!B89</f>
        <v>Frame: 56 ----- Stem: 110x0  ----- Carbon Aerobar + 10</v>
      </c>
      <c r="F265" s="11" t="str">
        <f t="shared" si="40"/>
        <v/>
      </c>
      <c r="G265" s="11" t="str">
        <f t="shared" ref="G265:G328" si="41">IF(ISNUMBER(FIND(" 30",E265)),1,"")</f>
        <v/>
      </c>
      <c r="H265" s="11" t="str">
        <f t="shared" ref="H265:H328" si="42">IF(ISNUMBER(FIND(" 40",E265)),1,"")</f>
        <v/>
      </c>
      <c r="I265" s="11">
        <f t="shared" ref="I265:I328" si="43">$F$5-A265</f>
        <v>-45</v>
      </c>
      <c r="J265" s="11">
        <v>1</v>
      </c>
      <c r="K265" s="11">
        <f t="shared" ref="K265:K328" si="44">IF(ISNUMBER(FIND(" 58",E265)),$AD$9,IF(ISNUMBER(FIND(" 56",E265)),$AD$8,IF(ISNUMBER(FIND(" 54",E265)),$AD$7,IF(ISNUMBER(FIND(" 51",E265)),$AD$6,IF(ISNUMBER(FIND(" 47",E265)),$AD$5,"")))))</f>
        <v>1</v>
      </c>
      <c r="L265" s="11" t="str">
        <f>'DA - 56'!H89</f>
        <v xml:space="preserve">Aerobar Bolts: Top 50mm; Bottom N/A </v>
      </c>
      <c r="M265" s="11" t="s">
        <v>11</v>
      </c>
    </row>
    <row r="266" spans="1:13" x14ac:dyDescent="0.25">
      <c r="A266" s="11">
        <f>'DA - 56'!C90</f>
        <v>515</v>
      </c>
      <c r="B266" s="11">
        <f>'DA - 56'!D90</f>
        <v>485</v>
      </c>
      <c r="C266" s="11">
        <f>'DA - 56'!E90</f>
        <v>565</v>
      </c>
      <c r="D266" s="11">
        <f>'DA - 56'!G90</f>
        <v>595</v>
      </c>
      <c r="E266" s="11" t="str">
        <f>'DA - 56'!B90</f>
        <v>Frame: 56 ----- Stem: 110x0  ----- Carbon Aerobar + 5 + 10</v>
      </c>
      <c r="F266" s="11" t="str">
        <f t="shared" si="40"/>
        <v/>
      </c>
      <c r="G266" s="11" t="str">
        <f t="shared" si="41"/>
        <v/>
      </c>
      <c r="H266" s="11" t="str">
        <f t="shared" si="42"/>
        <v/>
      </c>
      <c r="I266" s="11">
        <f t="shared" si="43"/>
        <v>-45</v>
      </c>
      <c r="J266" s="11">
        <v>1</v>
      </c>
      <c r="K266" s="11">
        <f t="shared" si="44"/>
        <v>1</v>
      </c>
      <c r="L266" s="11" t="str">
        <f>'DA - 56'!H90</f>
        <v xml:space="preserve">Aerobar Bolts: Top 55mm; Bottom N/A </v>
      </c>
      <c r="M266" s="11" t="s">
        <v>11</v>
      </c>
    </row>
    <row r="267" spans="1:13" x14ac:dyDescent="0.25">
      <c r="A267" s="11">
        <f>'DA - 56'!C91</f>
        <v>515</v>
      </c>
      <c r="B267" s="11">
        <f>'DA - 56'!D91</f>
        <v>485</v>
      </c>
      <c r="C267" s="11">
        <f>'DA - 56'!E91</f>
        <v>565</v>
      </c>
      <c r="D267" s="11">
        <f>'DA - 56'!G91</f>
        <v>600</v>
      </c>
      <c r="E267" s="11" t="str">
        <f>'DA - 56'!B91</f>
        <v>Frame: 56 ----- Stem: 110x0  ----- Carbon Aerobar + 20</v>
      </c>
      <c r="F267" s="11" t="str">
        <f t="shared" si="40"/>
        <v/>
      </c>
      <c r="G267" s="11" t="str">
        <f t="shared" si="41"/>
        <v/>
      </c>
      <c r="H267" s="11" t="str">
        <f t="shared" si="42"/>
        <v/>
      </c>
      <c r="I267" s="11">
        <f t="shared" si="43"/>
        <v>-45</v>
      </c>
      <c r="J267" s="11">
        <v>1</v>
      </c>
      <c r="K267" s="11">
        <f t="shared" si="44"/>
        <v>1</v>
      </c>
      <c r="L267" s="11" t="str">
        <f>'DA - 56'!H91</f>
        <v xml:space="preserve">Aerobar Bolts: Top 20mm; Bottom 30mm </v>
      </c>
      <c r="M267" s="11" t="s">
        <v>11</v>
      </c>
    </row>
    <row r="268" spans="1:13" x14ac:dyDescent="0.25">
      <c r="A268" s="11">
        <f>'DA - 56'!C92</f>
        <v>515</v>
      </c>
      <c r="B268" s="11">
        <f>'DA - 56'!D92</f>
        <v>485</v>
      </c>
      <c r="C268" s="11">
        <f>'DA - 56'!E92</f>
        <v>565</v>
      </c>
      <c r="D268" s="11">
        <f>'DA - 56'!G92</f>
        <v>605</v>
      </c>
      <c r="E268" s="11" t="str">
        <f>'DA - 56'!B92</f>
        <v>Frame: 56 ----- Stem: 110x0  ----- Carbon Aerobar + 20 + 5</v>
      </c>
      <c r="F268" s="11" t="str">
        <f t="shared" si="40"/>
        <v/>
      </c>
      <c r="G268" s="11" t="str">
        <f t="shared" si="41"/>
        <v/>
      </c>
      <c r="H268" s="11" t="str">
        <f t="shared" si="42"/>
        <v/>
      </c>
      <c r="I268" s="11">
        <f t="shared" si="43"/>
        <v>-45</v>
      </c>
      <c r="J268" s="11">
        <v>1</v>
      </c>
      <c r="K268" s="11">
        <f t="shared" si="44"/>
        <v>1</v>
      </c>
      <c r="L268" s="11" t="str">
        <f>'DA - 56'!H92</f>
        <v xml:space="preserve">Aerobar Bolts: Top 25mm; Bottom 30mm </v>
      </c>
      <c r="M268" s="11" t="s">
        <v>11</v>
      </c>
    </row>
    <row r="269" spans="1:13" x14ac:dyDescent="0.25">
      <c r="A269" s="11">
        <f>'DA - 56'!C93</f>
        <v>515</v>
      </c>
      <c r="B269" s="11">
        <f>'DA - 56'!D93</f>
        <v>485</v>
      </c>
      <c r="C269" s="11">
        <f>'DA - 56'!E93</f>
        <v>565</v>
      </c>
      <c r="D269" s="11">
        <f>'DA - 56'!G93</f>
        <v>605</v>
      </c>
      <c r="E269" s="11" t="str">
        <f>'DA - 56'!B93</f>
        <v>Frame: 56 ----- Stem: 110x0  ----- Carbon Aerobar + 20 + bridge</v>
      </c>
      <c r="F269" s="11" t="str">
        <f t="shared" si="40"/>
        <v/>
      </c>
      <c r="G269" s="11" t="str">
        <f t="shared" si="41"/>
        <v/>
      </c>
      <c r="H269" s="11" t="str">
        <f t="shared" si="42"/>
        <v/>
      </c>
      <c r="I269" s="11">
        <f t="shared" si="43"/>
        <v>-45</v>
      </c>
      <c r="J269" s="11">
        <v>1</v>
      </c>
      <c r="K269" s="11">
        <f t="shared" si="44"/>
        <v>1</v>
      </c>
      <c r="L269" s="11" t="str">
        <f>'DA - 56'!H93</f>
        <v xml:space="preserve">Aerobar Bolts: Top 25mm; Bottom 30mm </v>
      </c>
      <c r="M269" s="11" t="s">
        <v>11</v>
      </c>
    </row>
    <row r="270" spans="1:13" x14ac:dyDescent="0.25">
      <c r="A270" s="11">
        <f>'DA - 56'!C94</f>
        <v>515</v>
      </c>
      <c r="B270" s="11">
        <f>'DA - 56'!D94</f>
        <v>485</v>
      </c>
      <c r="C270" s="11">
        <f>'DA - 56'!E94</f>
        <v>565</v>
      </c>
      <c r="D270" s="11">
        <f>'DA - 56'!G94</f>
        <v>610</v>
      </c>
      <c r="E270" s="11" t="str">
        <f>'DA - 56'!B94</f>
        <v>Frame: 56 ----- Stem: 110x0  ----- Carbon Aerobar + 30</v>
      </c>
      <c r="F270" s="11" t="str">
        <f t="shared" si="40"/>
        <v/>
      </c>
      <c r="G270" s="11">
        <f t="shared" si="41"/>
        <v>1</v>
      </c>
      <c r="H270" s="11" t="str">
        <f t="shared" si="42"/>
        <v/>
      </c>
      <c r="I270" s="11">
        <f t="shared" si="43"/>
        <v>-45</v>
      </c>
      <c r="J270" s="11">
        <v>1</v>
      </c>
      <c r="K270" s="11">
        <f t="shared" si="44"/>
        <v>1</v>
      </c>
      <c r="L270" s="11" t="str">
        <f>'DA - 56'!H94</f>
        <v xml:space="preserve">Aerobar Bolts: Top 25mm; Bottom 30mm </v>
      </c>
      <c r="M270" s="11" t="s">
        <v>11</v>
      </c>
    </row>
    <row r="271" spans="1:13" x14ac:dyDescent="0.25">
      <c r="A271" s="11">
        <f>'DA - 56'!C95</f>
        <v>515</v>
      </c>
      <c r="B271" s="11">
        <f>'DA - 56'!D95</f>
        <v>485</v>
      </c>
      <c r="C271" s="11">
        <f>'DA - 56'!E95</f>
        <v>565</v>
      </c>
      <c r="D271" s="11">
        <f>'DA - 56'!G95</f>
        <v>610</v>
      </c>
      <c r="E271" s="11" t="str">
        <f>'DA - 56'!B95</f>
        <v>Frame: 56 ----- Stem: 110x0  ----- Carbon Aerobar + 20 + bridge + 5</v>
      </c>
      <c r="F271" s="11" t="str">
        <f t="shared" si="40"/>
        <v/>
      </c>
      <c r="G271" s="11" t="str">
        <f t="shared" si="41"/>
        <v/>
      </c>
      <c r="H271" s="11" t="str">
        <f t="shared" si="42"/>
        <v/>
      </c>
      <c r="I271" s="11">
        <f t="shared" si="43"/>
        <v>-45</v>
      </c>
      <c r="J271" s="11">
        <v>1</v>
      </c>
      <c r="K271" s="11">
        <f t="shared" si="44"/>
        <v>1</v>
      </c>
      <c r="L271" s="11" t="str">
        <f>'DA - 56'!H95</f>
        <v xml:space="preserve">Aerobar Bolts: Top 30mm; Bottom 30mm </v>
      </c>
      <c r="M271" s="11" t="s">
        <v>11</v>
      </c>
    </row>
    <row r="272" spans="1:13" x14ac:dyDescent="0.25">
      <c r="A272" s="11">
        <f>'DA - 56'!C96</f>
        <v>515</v>
      </c>
      <c r="B272" s="11">
        <f>'DA - 56'!D96</f>
        <v>485</v>
      </c>
      <c r="C272" s="11">
        <f>'DA - 56'!E96</f>
        <v>565</v>
      </c>
      <c r="D272" s="11">
        <f>'DA - 56'!G96</f>
        <v>615</v>
      </c>
      <c r="E272" s="11" t="str">
        <f>'DA - 56'!B96</f>
        <v>Frame: 56 ----- Stem: 110x0  ----- Carbon Aerobar + 30 + bridge</v>
      </c>
      <c r="F272" s="11" t="str">
        <f t="shared" si="40"/>
        <v/>
      </c>
      <c r="G272" s="11">
        <f t="shared" si="41"/>
        <v>1</v>
      </c>
      <c r="H272" s="11" t="str">
        <f t="shared" si="42"/>
        <v/>
      </c>
      <c r="I272" s="11">
        <f t="shared" si="43"/>
        <v>-45</v>
      </c>
      <c r="J272" s="11">
        <v>1</v>
      </c>
      <c r="K272" s="11">
        <f t="shared" si="44"/>
        <v>1</v>
      </c>
      <c r="L272" s="11" t="str">
        <f>'DA - 56'!H96</f>
        <v xml:space="preserve">Aerobar Bolts: Top 30mm; Bottom 30mm </v>
      </c>
      <c r="M272" s="11" t="s">
        <v>11</v>
      </c>
    </row>
    <row r="273" spans="1:13" x14ac:dyDescent="0.25">
      <c r="A273" s="11">
        <f>'DA - 56'!C97</f>
        <v>515</v>
      </c>
      <c r="B273" s="11">
        <f>'DA - 56'!D97</f>
        <v>485</v>
      </c>
      <c r="C273" s="11">
        <f>'DA - 56'!E97</f>
        <v>565</v>
      </c>
      <c r="D273" s="11">
        <f>'DA - 56'!G97</f>
        <v>620</v>
      </c>
      <c r="E273" s="11" t="str">
        <f>'DA - 56'!B97</f>
        <v>Frame: 56 ----- Stem: 110x0  ----- Carbon Aerobar + 30 + bridge + 5</v>
      </c>
      <c r="F273" s="11" t="str">
        <f t="shared" si="40"/>
        <v/>
      </c>
      <c r="G273" s="11">
        <f t="shared" si="41"/>
        <v>1</v>
      </c>
      <c r="H273" s="11" t="str">
        <f t="shared" si="42"/>
        <v/>
      </c>
      <c r="I273" s="11">
        <f t="shared" si="43"/>
        <v>-45</v>
      </c>
      <c r="J273" s="11">
        <v>1</v>
      </c>
      <c r="K273" s="11">
        <f t="shared" si="44"/>
        <v>1</v>
      </c>
      <c r="L273" s="11" t="str">
        <f>'DA - 56'!H97</f>
        <v xml:space="preserve">Aerobar Bolts: Top 35mm; Bottom 30mm </v>
      </c>
      <c r="M273" s="11" t="s">
        <v>11</v>
      </c>
    </row>
    <row r="274" spans="1:13" x14ac:dyDescent="0.25">
      <c r="A274" s="11">
        <f>'DA - 56'!C98</f>
        <v>515</v>
      </c>
      <c r="B274" s="11">
        <f>'DA - 56'!D98</f>
        <v>485</v>
      </c>
      <c r="C274" s="11">
        <f>'DA - 56'!E98</f>
        <v>565</v>
      </c>
      <c r="D274" s="11">
        <f>'DA - 56'!G98</f>
        <v>625</v>
      </c>
      <c r="E274" s="11" t="str">
        <f>'DA - 56'!B98</f>
        <v>Frame: 56 ----- Stem: 110x0  ----- Carbon Aerobar + 40 + bridge</v>
      </c>
      <c r="F274" s="11" t="str">
        <f t="shared" si="40"/>
        <v/>
      </c>
      <c r="G274" s="11" t="str">
        <f t="shared" si="41"/>
        <v/>
      </c>
      <c r="H274" s="11">
        <f t="shared" si="42"/>
        <v>1</v>
      </c>
      <c r="I274" s="11">
        <f t="shared" si="43"/>
        <v>-45</v>
      </c>
      <c r="J274" s="11">
        <v>1</v>
      </c>
      <c r="K274" s="11">
        <f t="shared" si="44"/>
        <v>1</v>
      </c>
      <c r="L274" s="11" t="str">
        <f>'DA - 56'!H98</f>
        <v xml:space="preserve">Aerobar Bolts: Top 35mm; Bottom 30mm </v>
      </c>
      <c r="M274" s="11" t="s">
        <v>11</v>
      </c>
    </row>
    <row r="275" spans="1:13" x14ac:dyDescent="0.25">
      <c r="A275" s="11">
        <f>'DA - 56'!C99</f>
        <v>515</v>
      </c>
      <c r="B275" s="11">
        <f>'DA - 56'!D99</f>
        <v>485</v>
      </c>
      <c r="C275" s="11">
        <f>'DA - 56'!E99</f>
        <v>565</v>
      </c>
      <c r="D275" s="11">
        <f>'DA - 56'!G99</f>
        <v>630</v>
      </c>
      <c r="E275" s="11" t="str">
        <f>'DA - 56'!B99</f>
        <v>Frame: 56 ----- Stem: 110x0  ----- Carbon Aerobar + 40 + bridge + 5</v>
      </c>
      <c r="F275" s="11" t="str">
        <f t="shared" si="40"/>
        <v/>
      </c>
      <c r="G275" s="11" t="str">
        <f t="shared" si="41"/>
        <v/>
      </c>
      <c r="H275" s="11">
        <f t="shared" si="42"/>
        <v>1</v>
      </c>
      <c r="I275" s="11">
        <f t="shared" si="43"/>
        <v>-45</v>
      </c>
      <c r="J275" s="11">
        <v>1</v>
      </c>
      <c r="K275" s="11">
        <f t="shared" si="44"/>
        <v>1</v>
      </c>
      <c r="L275" s="11" t="str">
        <f>'DA - 56'!H99</f>
        <v xml:space="preserve">Aerobar Bolts: Top 35mm; Bottom 30mm </v>
      </c>
      <c r="M275" s="11" t="s">
        <v>11</v>
      </c>
    </row>
    <row r="276" spans="1:13" x14ac:dyDescent="0.25">
      <c r="A276" s="11">
        <f>'DA - 56'!C100</f>
        <v>515</v>
      </c>
      <c r="B276" s="11">
        <f>'DA - 56'!D100</f>
        <v>485</v>
      </c>
      <c r="C276" s="11">
        <f>'DA - 56'!E100</f>
        <v>565</v>
      </c>
      <c r="D276" s="11">
        <f>'DA - 56'!G100</f>
        <v>635</v>
      </c>
      <c r="E276" s="11" t="str">
        <f>'DA - 56'!B100</f>
        <v>Frame: 56 ----- Stem: 110x0  ----- Carbon Aerobar + 40 + bridge + 10</v>
      </c>
      <c r="F276" s="11" t="str">
        <f t="shared" si="40"/>
        <v/>
      </c>
      <c r="G276" s="11" t="str">
        <f t="shared" si="41"/>
        <v/>
      </c>
      <c r="H276" s="11">
        <f t="shared" si="42"/>
        <v>1</v>
      </c>
      <c r="I276" s="11">
        <f t="shared" si="43"/>
        <v>-45</v>
      </c>
      <c r="J276" s="11">
        <v>1</v>
      </c>
      <c r="K276" s="11">
        <f t="shared" si="44"/>
        <v>1</v>
      </c>
      <c r="L276" s="11" t="str">
        <f>'DA - 56'!H100</f>
        <v xml:space="preserve">Aerobar Bolts: Top 40mm; Bottom 30mm </v>
      </c>
      <c r="M276" s="11" t="s">
        <v>11</v>
      </c>
    </row>
    <row r="277" spans="1:13" x14ac:dyDescent="0.25">
      <c r="A277" s="11">
        <f>'DA - 56'!C101</f>
        <v>515</v>
      </c>
      <c r="B277" s="11">
        <f>'DA - 56'!D101</f>
        <v>485</v>
      </c>
      <c r="C277" s="11">
        <f>'DA - 56'!E101</f>
        <v>565</v>
      </c>
      <c r="D277" s="11">
        <f>'DA - 56'!G101</f>
        <v>640</v>
      </c>
      <c r="E277" s="11" t="str">
        <f>'DA - 56'!B101</f>
        <v>Frame: 56 ----- Stem: 110x0  ----- Carbon Aerobar + 40 + bridge + 10 + 5</v>
      </c>
      <c r="F277" s="11" t="str">
        <f t="shared" si="40"/>
        <v/>
      </c>
      <c r="G277" s="11" t="str">
        <f t="shared" si="41"/>
        <v/>
      </c>
      <c r="H277" s="11">
        <f t="shared" si="42"/>
        <v>1</v>
      </c>
      <c r="I277" s="11">
        <f t="shared" si="43"/>
        <v>-45</v>
      </c>
      <c r="J277" s="11">
        <v>1</v>
      </c>
      <c r="K277" s="11">
        <f t="shared" si="44"/>
        <v>1</v>
      </c>
      <c r="L277" s="11" t="str">
        <f>'DA - 56'!H101</f>
        <v xml:space="preserve">Aerobar Bolts: Top 45mm; Bottom 30mm </v>
      </c>
      <c r="M277" s="11" t="s">
        <v>11</v>
      </c>
    </row>
    <row r="278" spans="1:13" x14ac:dyDescent="0.25">
      <c r="A278" s="11">
        <f>'DA - 56'!C102</f>
        <v>470</v>
      </c>
      <c r="B278" s="11">
        <f>'DA - 56'!D102</f>
        <v>440</v>
      </c>
      <c r="C278" s="11">
        <f>'DA - 56'!E102</f>
        <v>520</v>
      </c>
      <c r="D278" s="11">
        <f>'DA - 56'!G102</f>
        <v>625</v>
      </c>
      <c r="E278" s="11" t="str">
        <f>'DA - 56'!B102</f>
        <v>Frame: 56 ----- Stem: 70x30  ----- Aluminium Aerobar</v>
      </c>
      <c r="F278" s="11">
        <f t="shared" si="40"/>
        <v>1</v>
      </c>
      <c r="G278" s="11" t="str">
        <f t="shared" si="41"/>
        <v/>
      </c>
      <c r="H278" s="11" t="str">
        <f t="shared" si="42"/>
        <v/>
      </c>
      <c r="I278" s="11">
        <f t="shared" si="43"/>
        <v>0</v>
      </c>
      <c r="J278" s="11">
        <v>1</v>
      </c>
      <c r="K278" s="11">
        <f t="shared" si="44"/>
        <v>1</v>
      </c>
      <c r="L278" s="11" t="str">
        <f>'DA - 56'!H102</f>
        <v xml:space="preserve">Aerobar Bolts: Top 20mm; Bottom N/A </v>
      </c>
      <c r="M278" s="11" t="s">
        <v>11</v>
      </c>
    </row>
    <row r="279" spans="1:13" x14ac:dyDescent="0.25">
      <c r="A279" s="11">
        <f>'DA - 56'!C103</f>
        <v>470</v>
      </c>
      <c r="B279" s="11">
        <f>'DA - 56'!D103</f>
        <v>440</v>
      </c>
      <c r="C279" s="11">
        <f>'DA - 56'!E103</f>
        <v>520</v>
      </c>
      <c r="D279" s="11">
        <f>'DA - 56'!G103</f>
        <v>630</v>
      </c>
      <c r="E279" s="11" t="str">
        <f>'DA - 56'!B103</f>
        <v>Frame: 56 ----- Stem: 70x30  ----- Aluminium Aerobar + 5</v>
      </c>
      <c r="F279" s="11">
        <f t="shared" si="40"/>
        <v>1</v>
      </c>
      <c r="G279" s="11" t="str">
        <f t="shared" si="41"/>
        <v/>
      </c>
      <c r="H279" s="11" t="str">
        <f t="shared" si="42"/>
        <v/>
      </c>
      <c r="I279" s="11">
        <f t="shared" si="43"/>
        <v>0</v>
      </c>
      <c r="J279" s="11">
        <v>1</v>
      </c>
      <c r="K279" s="11">
        <f t="shared" si="44"/>
        <v>1</v>
      </c>
      <c r="L279" s="11" t="str">
        <f>'DA - 56'!H103</f>
        <v xml:space="preserve">Aerobar Bolts: Top 25mm; Bottom N/A </v>
      </c>
      <c r="M279" s="11" t="s">
        <v>11</v>
      </c>
    </row>
    <row r="280" spans="1:13" x14ac:dyDescent="0.25">
      <c r="A280" s="11">
        <f>'DA - 56'!C104</f>
        <v>470</v>
      </c>
      <c r="B280" s="11">
        <f>'DA - 56'!D104</f>
        <v>440</v>
      </c>
      <c r="C280" s="11">
        <f>'DA - 56'!E104</f>
        <v>520</v>
      </c>
      <c r="D280" s="11">
        <f>'DA - 56'!G104</f>
        <v>635</v>
      </c>
      <c r="E280" s="11" t="str">
        <f>'DA - 56'!B104</f>
        <v>Frame: 56 ----- Stem: 70x30  ----- Aluminium Aerobar + 10</v>
      </c>
      <c r="F280" s="11">
        <f t="shared" si="40"/>
        <v>1</v>
      </c>
      <c r="G280" s="11" t="str">
        <f t="shared" si="41"/>
        <v/>
      </c>
      <c r="H280" s="11" t="str">
        <f t="shared" si="42"/>
        <v/>
      </c>
      <c r="I280" s="11">
        <f t="shared" si="43"/>
        <v>0</v>
      </c>
      <c r="J280" s="11">
        <v>1</v>
      </c>
      <c r="K280" s="11">
        <f t="shared" si="44"/>
        <v>1</v>
      </c>
      <c r="L280" s="11" t="str">
        <f>'DA - 56'!H104</f>
        <v xml:space="preserve">Aerobar Bolts: Top 30mm; Bottom N/A </v>
      </c>
      <c r="M280" s="11" t="s">
        <v>11</v>
      </c>
    </row>
    <row r="281" spans="1:13" x14ac:dyDescent="0.25">
      <c r="A281" s="11">
        <f>'DA - 56'!C105</f>
        <v>470</v>
      </c>
      <c r="B281" s="11">
        <f>'DA - 56'!D105</f>
        <v>440</v>
      </c>
      <c r="C281" s="11">
        <f>'DA - 56'!E105</f>
        <v>520</v>
      </c>
      <c r="D281" s="11">
        <f>'DA - 56'!G105</f>
        <v>640</v>
      </c>
      <c r="E281" s="11" t="str">
        <f>'DA - 56'!B105</f>
        <v>Frame: 56 ----- Stem: 70x30  ----- Aluminium Aerobar + 5 + 10</v>
      </c>
      <c r="F281" s="11">
        <f t="shared" si="40"/>
        <v>1</v>
      </c>
      <c r="G281" s="11" t="str">
        <f t="shared" si="41"/>
        <v/>
      </c>
      <c r="H281" s="11" t="str">
        <f t="shared" si="42"/>
        <v/>
      </c>
      <c r="I281" s="11">
        <f t="shared" si="43"/>
        <v>0</v>
      </c>
      <c r="J281" s="11">
        <v>1</v>
      </c>
      <c r="K281" s="11">
        <f t="shared" si="44"/>
        <v>1</v>
      </c>
      <c r="L281" s="11" t="str">
        <f>'DA - 56'!H105</f>
        <v xml:space="preserve">Aerobar Bolts: Top 35mm; Bottom N/A </v>
      </c>
      <c r="M281" s="11" t="s">
        <v>11</v>
      </c>
    </row>
    <row r="282" spans="1:13" x14ac:dyDescent="0.25">
      <c r="A282" s="11">
        <f>'DA - 56'!C106</f>
        <v>470</v>
      </c>
      <c r="B282" s="11">
        <f>'DA - 56'!D106</f>
        <v>440</v>
      </c>
      <c r="C282" s="11">
        <f>'DA - 56'!E106</f>
        <v>520</v>
      </c>
      <c r="D282" s="11">
        <f>'DA - 56'!G106</f>
        <v>645</v>
      </c>
      <c r="E282" s="11" t="str">
        <f>'DA - 56'!B106</f>
        <v>Frame: 56 ----- Stem: 70x30  ----- Aluminium Aerobar + 20</v>
      </c>
      <c r="F282" s="11">
        <f t="shared" si="40"/>
        <v>1</v>
      </c>
      <c r="G282" s="11" t="str">
        <f t="shared" si="41"/>
        <v/>
      </c>
      <c r="H282" s="11" t="str">
        <f t="shared" si="42"/>
        <v/>
      </c>
      <c r="I282" s="11">
        <f t="shared" si="43"/>
        <v>0</v>
      </c>
      <c r="J282" s="11">
        <v>1</v>
      </c>
      <c r="K282" s="11">
        <f t="shared" si="44"/>
        <v>1</v>
      </c>
      <c r="L282" s="11" t="str">
        <f>'DA - 56'!H106</f>
        <v xml:space="preserve">Aerobar Bolts: Top 20mm; Bottom 15mm </v>
      </c>
      <c r="M282" s="11" t="s">
        <v>11</v>
      </c>
    </row>
    <row r="283" spans="1:13" x14ac:dyDescent="0.25">
      <c r="A283" s="11">
        <f>'DA - 56'!C107</f>
        <v>470</v>
      </c>
      <c r="B283" s="11">
        <f>'DA - 56'!D107</f>
        <v>440</v>
      </c>
      <c r="C283" s="11">
        <f>'DA - 56'!E107</f>
        <v>520</v>
      </c>
      <c r="D283" s="11">
        <f>'DA - 56'!G107</f>
        <v>650</v>
      </c>
      <c r="E283" s="11" t="str">
        <f>'DA - 56'!B107</f>
        <v>Frame: 56 ----- Stem: 70x30  ----- Aluminium Aerobar + 20 + 5</v>
      </c>
      <c r="F283" s="11">
        <f t="shared" si="40"/>
        <v>1</v>
      </c>
      <c r="G283" s="11" t="str">
        <f t="shared" si="41"/>
        <v/>
      </c>
      <c r="H283" s="11" t="str">
        <f t="shared" si="42"/>
        <v/>
      </c>
      <c r="I283" s="11">
        <f t="shared" si="43"/>
        <v>0</v>
      </c>
      <c r="J283" s="11">
        <v>1</v>
      </c>
      <c r="K283" s="11">
        <f t="shared" si="44"/>
        <v>1</v>
      </c>
      <c r="L283" s="11" t="str">
        <f>'DA - 56'!H107</f>
        <v xml:space="preserve">Aerobar Bolts: Top 25mm; Bottom 15mm </v>
      </c>
      <c r="M283" s="11" t="s">
        <v>11</v>
      </c>
    </row>
    <row r="284" spans="1:13" x14ac:dyDescent="0.25">
      <c r="A284" s="11">
        <f>'DA - 56'!C108</f>
        <v>470</v>
      </c>
      <c r="B284" s="11">
        <f>'DA - 56'!D108</f>
        <v>440</v>
      </c>
      <c r="C284" s="11">
        <f>'DA - 56'!E108</f>
        <v>520</v>
      </c>
      <c r="D284" s="11">
        <f>'DA - 56'!G108</f>
        <v>650</v>
      </c>
      <c r="E284" s="11" t="str">
        <f>'DA - 56'!B108</f>
        <v>Frame: 56 ----- Stem: 70x30  ----- Aluminium Aerobar + 20 + bridge</v>
      </c>
      <c r="F284" s="11">
        <f t="shared" si="40"/>
        <v>1</v>
      </c>
      <c r="G284" s="11" t="str">
        <f t="shared" si="41"/>
        <v/>
      </c>
      <c r="H284" s="11" t="str">
        <f t="shared" si="42"/>
        <v/>
      </c>
      <c r="I284" s="11">
        <f t="shared" si="43"/>
        <v>0</v>
      </c>
      <c r="J284" s="11">
        <v>1</v>
      </c>
      <c r="K284" s="11">
        <f t="shared" si="44"/>
        <v>1</v>
      </c>
      <c r="L284" s="11" t="str">
        <f>'DA - 56'!H108</f>
        <v xml:space="preserve">Aerobar Bolts: Top 25mm; Bottom 15mm </v>
      </c>
      <c r="M284" s="11" t="s">
        <v>11</v>
      </c>
    </row>
    <row r="285" spans="1:13" x14ac:dyDescent="0.25">
      <c r="A285" s="11">
        <f>'DA - 56'!C109</f>
        <v>470</v>
      </c>
      <c r="B285" s="11">
        <f>'DA - 56'!D109</f>
        <v>440</v>
      </c>
      <c r="C285" s="11">
        <f>'DA - 56'!E109</f>
        <v>520</v>
      </c>
      <c r="D285" s="11">
        <f>'DA - 56'!G109</f>
        <v>655</v>
      </c>
      <c r="E285" s="11" t="str">
        <f>'DA - 56'!B109</f>
        <v>Frame: 56 ----- Stem: 70x30  ----- Aluminium Aerobar + 30</v>
      </c>
      <c r="F285" s="11">
        <f t="shared" si="40"/>
        <v>1</v>
      </c>
      <c r="G285" s="11">
        <f t="shared" si="41"/>
        <v>1</v>
      </c>
      <c r="H285" s="11" t="str">
        <f t="shared" si="42"/>
        <v/>
      </c>
      <c r="I285" s="11">
        <f t="shared" si="43"/>
        <v>0</v>
      </c>
      <c r="J285" s="11">
        <v>1</v>
      </c>
      <c r="K285" s="11">
        <f t="shared" si="44"/>
        <v>1</v>
      </c>
      <c r="L285" s="11" t="str">
        <f>'DA - 56'!H109</f>
        <v xml:space="preserve">Aerobar Bolts: Top 25mm; Bottom 15mm </v>
      </c>
      <c r="M285" s="11" t="s">
        <v>11</v>
      </c>
    </row>
    <row r="286" spans="1:13" x14ac:dyDescent="0.25">
      <c r="A286" s="11">
        <f>'DA - 56'!C110</f>
        <v>470</v>
      </c>
      <c r="B286" s="11">
        <f>'DA - 56'!D110</f>
        <v>440</v>
      </c>
      <c r="C286" s="11">
        <f>'DA - 56'!E110</f>
        <v>520</v>
      </c>
      <c r="D286" s="11">
        <f>'DA - 56'!G110</f>
        <v>655</v>
      </c>
      <c r="E286" s="11" t="str">
        <f>'DA - 56'!B110</f>
        <v>Frame: 56 ----- Stem: 70x30  ----- Aluminium Aerobar + 20 + bridge + 5</v>
      </c>
      <c r="F286" s="11">
        <f t="shared" si="40"/>
        <v>1</v>
      </c>
      <c r="G286" s="11" t="str">
        <f t="shared" si="41"/>
        <v/>
      </c>
      <c r="H286" s="11" t="str">
        <f t="shared" si="42"/>
        <v/>
      </c>
      <c r="I286" s="11">
        <f t="shared" si="43"/>
        <v>0</v>
      </c>
      <c r="J286" s="11">
        <v>1</v>
      </c>
      <c r="K286" s="11">
        <f t="shared" si="44"/>
        <v>1</v>
      </c>
      <c r="L286" s="11" t="str">
        <f>'DA - 56'!H110</f>
        <v xml:space="preserve">Aerobar Bolts: Top 25mm; Bottom 15mm </v>
      </c>
      <c r="M286" s="11" t="s">
        <v>11</v>
      </c>
    </row>
    <row r="287" spans="1:13" x14ac:dyDescent="0.25">
      <c r="A287" s="11">
        <f>'DA - 56'!C111</f>
        <v>470</v>
      </c>
      <c r="B287" s="11">
        <f>'DA - 56'!D111</f>
        <v>440</v>
      </c>
      <c r="C287" s="11">
        <f>'DA - 56'!E111</f>
        <v>520</v>
      </c>
      <c r="D287" s="11">
        <f>'DA - 56'!G111</f>
        <v>660</v>
      </c>
      <c r="E287" s="11" t="str">
        <f>'DA - 56'!B111</f>
        <v>Frame: 56 ----- Stem: 70x30  ----- Aluminium Aerobar + 30 + bridge</v>
      </c>
      <c r="F287" s="11">
        <f t="shared" si="40"/>
        <v>1</v>
      </c>
      <c r="G287" s="11">
        <f t="shared" si="41"/>
        <v>1</v>
      </c>
      <c r="H287" s="11" t="str">
        <f t="shared" si="42"/>
        <v/>
      </c>
      <c r="I287" s="11">
        <f t="shared" si="43"/>
        <v>0</v>
      </c>
      <c r="J287" s="11">
        <v>1</v>
      </c>
      <c r="K287" s="11">
        <f t="shared" si="44"/>
        <v>1</v>
      </c>
      <c r="L287" s="11" t="str">
        <f>'DA - 56'!H111</f>
        <v xml:space="preserve">Aerobar Bolts: Top 30mm; Bottom 15mm </v>
      </c>
      <c r="M287" s="11" t="s">
        <v>11</v>
      </c>
    </row>
    <row r="288" spans="1:13" x14ac:dyDescent="0.25">
      <c r="A288" s="11">
        <f>'DA - 56'!C112</f>
        <v>470</v>
      </c>
      <c r="B288" s="11">
        <f>'DA - 56'!D112</f>
        <v>440</v>
      </c>
      <c r="C288" s="11">
        <f>'DA - 56'!E112</f>
        <v>520</v>
      </c>
      <c r="D288" s="11">
        <f>'DA - 56'!G112</f>
        <v>665</v>
      </c>
      <c r="E288" s="11" t="str">
        <f>'DA - 56'!B112</f>
        <v>Frame: 56 ----- Stem: 70x30  ----- Aluminium Aerobar + 30 + bridge + 5</v>
      </c>
      <c r="F288" s="11">
        <f t="shared" si="40"/>
        <v>1</v>
      </c>
      <c r="G288" s="11">
        <f t="shared" si="41"/>
        <v>1</v>
      </c>
      <c r="H288" s="11" t="str">
        <f t="shared" si="42"/>
        <v/>
      </c>
      <c r="I288" s="11">
        <f t="shared" si="43"/>
        <v>0</v>
      </c>
      <c r="J288" s="11">
        <v>1</v>
      </c>
      <c r="K288" s="11">
        <f t="shared" si="44"/>
        <v>1</v>
      </c>
      <c r="L288" s="11" t="str">
        <f>'DA - 56'!H112</f>
        <v xml:space="preserve">Aerobar Bolts: Top 30mm; Bottom 15mm </v>
      </c>
      <c r="M288" s="11" t="s">
        <v>11</v>
      </c>
    </row>
    <row r="289" spans="1:13" x14ac:dyDescent="0.25">
      <c r="A289" s="11">
        <f>'DA - 56'!C113</f>
        <v>470</v>
      </c>
      <c r="B289" s="11">
        <f>'DA - 56'!D113</f>
        <v>440</v>
      </c>
      <c r="C289" s="11">
        <f>'DA - 56'!E113</f>
        <v>520</v>
      </c>
      <c r="D289" s="11">
        <f>'DA - 56'!G113</f>
        <v>670</v>
      </c>
      <c r="E289" s="11" t="str">
        <f>'DA - 56'!B113</f>
        <v>Frame: 56 ----- Stem: 70x30  ----- Aluminium Aerobar + 40 + bridge</v>
      </c>
      <c r="F289" s="11">
        <f t="shared" si="40"/>
        <v>1</v>
      </c>
      <c r="G289" s="11" t="str">
        <f t="shared" si="41"/>
        <v/>
      </c>
      <c r="H289" s="11">
        <f t="shared" si="42"/>
        <v>1</v>
      </c>
      <c r="I289" s="11">
        <f t="shared" si="43"/>
        <v>0</v>
      </c>
      <c r="J289" s="11">
        <v>1</v>
      </c>
      <c r="K289" s="11">
        <f t="shared" si="44"/>
        <v>1</v>
      </c>
      <c r="L289" s="11" t="str">
        <f>'DA - 56'!H113</f>
        <v xml:space="preserve">Aerobar Bolts: Top 35mm; Bottom 15mm </v>
      </c>
      <c r="M289" s="11" t="s">
        <v>11</v>
      </c>
    </row>
    <row r="290" spans="1:13" x14ac:dyDescent="0.25">
      <c r="A290" s="11">
        <f>'DA - 56'!C114</f>
        <v>470</v>
      </c>
      <c r="B290" s="11">
        <f>'DA - 56'!D114</f>
        <v>440</v>
      </c>
      <c r="C290" s="11">
        <f>'DA - 56'!E114</f>
        <v>520</v>
      </c>
      <c r="D290" s="11">
        <f>'DA - 56'!G114</f>
        <v>675</v>
      </c>
      <c r="E290" s="11" t="str">
        <f>'DA - 56'!B114</f>
        <v>Frame: 56 ----- Stem: 70x30  ----- Aluminium Aerobar + 40 + bridge + 5</v>
      </c>
      <c r="F290" s="11">
        <f t="shared" si="40"/>
        <v>1</v>
      </c>
      <c r="G290" s="11" t="str">
        <f t="shared" si="41"/>
        <v/>
      </c>
      <c r="H290" s="11">
        <f t="shared" si="42"/>
        <v>1</v>
      </c>
      <c r="I290" s="11">
        <f t="shared" si="43"/>
        <v>0</v>
      </c>
      <c r="J290" s="11">
        <v>1</v>
      </c>
      <c r="K290" s="11">
        <f t="shared" si="44"/>
        <v>1</v>
      </c>
      <c r="L290" s="11" t="str">
        <f>'DA - 56'!H114</f>
        <v xml:space="preserve">Aerobar Bolts: Top 35mm; Bottom 15mm </v>
      </c>
      <c r="M290" s="11" t="s">
        <v>11</v>
      </c>
    </row>
    <row r="291" spans="1:13" x14ac:dyDescent="0.25">
      <c r="A291" s="11">
        <f>'DA - 56'!C115</f>
        <v>470</v>
      </c>
      <c r="B291" s="11">
        <f>'DA - 56'!D115</f>
        <v>440</v>
      </c>
      <c r="C291" s="11">
        <f>'DA - 56'!E115</f>
        <v>520</v>
      </c>
      <c r="D291" s="11">
        <f>'DA - 56'!G115</f>
        <v>680</v>
      </c>
      <c r="E291" s="11" t="str">
        <f>'DA - 56'!B115</f>
        <v>Frame: 56 ----- Stem: 70x30  ----- Aluminium Aerobar + 40 + bridge + 10</v>
      </c>
      <c r="F291" s="11">
        <f t="shared" si="40"/>
        <v>1</v>
      </c>
      <c r="G291" s="11" t="str">
        <f t="shared" si="41"/>
        <v/>
      </c>
      <c r="H291" s="11">
        <f t="shared" si="42"/>
        <v>1</v>
      </c>
      <c r="I291" s="11">
        <f t="shared" si="43"/>
        <v>0</v>
      </c>
      <c r="J291" s="11">
        <v>1</v>
      </c>
      <c r="K291" s="11">
        <f t="shared" si="44"/>
        <v>1</v>
      </c>
      <c r="L291" s="11" t="str">
        <f>'DA - 56'!H115</f>
        <v xml:space="preserve">Aerobar Bolts: Top 35mm; Bottom 15mm </v>
      </c>
      <c r="M291" s="11" t="s">
        <v>11</v>
      </c>
    </row>
    <row r="292" spans="1:13" x14ac:dyDescent="0.25">
      <c r="A292" s="11">
        <f>'DA - 56'!C116</f>
        <v>470</v>
      </c>
      <c r="B292" s="11">
        <f>'DA - 56'!D116</f>
        <v>440</v>
      </c>
      <c r="C292" s="11">
        <f>'DA - 56'!E116</f>
        <v>520</v>
      </c>
      <c r="D292" s="11">
        <f>'DA - 56'!G116</f>
        <v>685</v>
      </c>
      <c r="E292" s="11" t="str">
        <f>'DA - 56'!B116</f>
        <v>Frame: 56 ----- Stem: 70x30  ----- Aluminium Aerobar + 40 + bridge + 10 + 5</v>
      </c>
      <c r="F292" s="11">
        <f t="shared" si="40"/>
        <v>1</v>
      </c>
      <c r="G292" s="11" t="str">
        <f t="shared" si="41"/>
        <v/>
      </c>
      <c r="H292" s="11">
        <f t="shared" si="42"/>
        <v>1</v>
      </c>
      <c r="I292" s="11">
        <f t="shared" si="43"/>
        <v>0</v>
      </c>
      <c r="J292" s="11">
        <v>1</v>
      </c>
      <c r="K292" s="11">
        <f t="shared" si="44"/>
        <v>1</v>
      </c>
      <c r="L292" s="11" t="str">
        <f>'DA - 56'!H116</f>
        <v xml:space="preserve">Aerobar Bolts: Top 35mm; Bottom 25mm </v>
      </c>
      <c r="M292" s="11" t="s">
        <v>11</v>
      </c>
    </row>
    <row r="293" spans="1:13" x14ac:dyDescent="0.25">
      <c r="A293" s="11">
        <f>'DA - 56'!C117</f>
        <v>460</v>
      </c>
      <c r="B293" s="11">
        <f>'DA - 56'!D117</f>
        <v>430</v>
      </c>
      <c r="C293" s="11">
        <f>'DA - 56'!E117</f>
        <v>510</v>
      </c>
      <c r="D293" s="11">
        <f>'DA - 56'!G117</f>
        <v>655</v>
      </c>
      <c r="E293" s="11" t="str">
        <f>'DA - 56'!B117</f>
        <v>Frame: 56 ----- Stem: 70x60  ----- Aluminium Aerobar</v>
      </c>
      <c r="F293" s="11">
        <f t="shared" si="40"/>
        <v>1</v>
      </c>
      <c r="G293" s="11" t="str">
        <f t="shared" si="41"/>
        <v/>
      </c>
      <c r="H293" s="11" t="str">
        <f t="shared" si="42"/>
        <v/>
      </c>
      <c r="I293" s="11">
        <f t="shared" si="43"/>
        <v>10</v>
      </c>
      <c r="J293" s="11">
        <v>1</v>
      </c>
      <c r="K293" s="11">
        <f t="shared" si="44"/>
        <v>1</v>
      </c>
      <c r="L293" s="11" t="str">
        <f>'DA - 56'!H117</f>
        <v xml:space="preserve">Aerobar Bolts: Top 20mm; Bottom N/A </v>
      </c>
      <c r="M293" s="11" t="s">
        <v>11</v>
      </c>
    </row>
    <row r="294" spans="1:13" x14ac:dyDescent="0.25">
      <c r="A294" s="11">
        <f>'DA - 56'!C118</f>
        <v>460</v>
      </c>
      <c r="B294" s="11">
        <f>'DA - 56'!D118</f>
        <v>430</v>
      </c>
      <c r="C294" s="11">
        <f>'DA - 56'!E118</f>
        <v>510</v>
      </c>
      <c r="D294" s="11">
        <f>'DA - 56'!G118</f>
        <v>660</v>
      </c>
      <c r="E294" s="11" t="str">
        <f>'DA - 56'!B118</f>
        <v>Frame: 56 ----- Stem: 70x60  ----- Aluminium Aerobar + 5</v>
      </c>
      <c r="F294" s="11">
        <f t="shared" si="40"/>
        <v>1</v>
      </c>
      <c r="G294" s="11" t="str">
        <f t="shared" si="41"/>
        <v/>
      </c>
      <c r="H294" s="11" t="str">
        <f t="shared" si="42"/>
        <v/>
      </c>
      <c r="I294" s="11">
        <f t="shared" si="43"/>
        <v>10</v>
      </c>
      <c r="J294" s="11">
        <v>1</v>
      </c>
      <c r="K294" s="11">
        <f t="shared" si="44"/>
        <v>1</v>
      </c>
      <c r="L294" s="11" t="str">
        <f>'DA - 56'!H118</f>
        <v xml:space="preserve">Aerobar Bolts: Top 25mm; Bottom N/A </v>
      </c>
      <c r="M294" s="11" t="s">
        <v>11</v>
      </c>
    </row>
    <row r="295" spans="1:13" x14ac:dyDescent="0.25">
      <c r="A295" s="11">
        <f>'DA - 56'!C119</f>
        <v>460</v>
      </c>
      <c r="B295" s="11">
        <f>'DA - 56'!D119</f>
        <v>430</v>
      </c>
      <c r="C295" s="11">
        <f>'DA - 56'!E119</f>
        <v>510</v>
      </c>
      <c r="D295" s="11">
        <f>'DA - 56'!G119</f>
        <v>665</v>
      </c>
      <c r="E295" s="11" t="str">
        <f>'DA - 56'!B119</f>
        <v>Frame: 56 ----- Stem: 70x60  ----- Aluminium Aerobar + 10</v>
      </c>
      <c r="F295" s="11">
        <f t="shared" si="40"/>
        <v>1</v>
      </c>
      <c r="G295" s="11" t="str">
        <f t="shared" si="41"/>
        <v/>
      </c>
      <c r="H295" s="11" t="str">
        <f t="shared" si="42"/>
        <v/>
      </c>
      <c r="I295" s="11">
        <f t="shared" si="43"/>
        <v>10</v>
      </c>
      <c r="J295" s="11">
        <v>1</v>
      </c>
      <c r="K295" s="11">
        <f t="shared" si="44"/>
        <v>1</v>
      </c>
      <c r="L295" s="11" t="str">
        <f>'DA - 56'!H119</f>
        <v xml:space="preserve">Aerobar Bolts: Top 30mm; Bottom N/A </v>
      </c>
      <c r="M295" s="11" t="s">
        <v>11</v>
      </c>
    </row>
    <row r="296" spans="1:13" x14ac:dyDescent="0.25">
      <c r="A296" s="11">
        <f>'DA - 56'!C120</f>
        <v>460</v>
      </c>
      <c r="B296" s="11">
        <f>'DA - 56'!D120</f>
        <v>430</v>
      </c>
      <c r="C296" s="11">
        <f>'DA - 56'!E120</f>
        <v>510</v>
      </c>
      <c r="D296" s="11">
        <f>'DA - 56'!G120</f>
        <v>670</v>
      </c>
      <c r="E296" s="11" t="str">
        <f>'DA - 56'!B120</f>
        <v>Frame: 56 ----- Stem: 70x60  ----- Aluminium Aerobar + 5 + 10</v>
      </c>
      <c r="F296" s="11">
        <f t="shared" si="40"/>
        <v>1</v>
      </c>
      <c r="G296" s="11" t="str">
        <f t="shared" si="41"/>
        <v/>
      </c>
      <c r="H296" s="11" t="str">
        <f t="shared" si="42"/>
        <v/>
      </c>
      <c r="I296" s="11">
        <f t="shared" si="43"/>
        <v>10</v>
      </c>
      <c r="J296" s="11">
        <v>1</v>
      </c>
      <c r="K296" s="11">
        <f t="shared" si="44"/>
        <v>1</v>
      </c>
      <c r="L296" s="11" t="str">
        <f>'DA - 56'!H120</f>
        <v xml:space="preserve">Aerobar Bolts: Top 35mm; Bottom N/A </v>
      </c>
      <c r="M296" s="11" t="s">
        <v>11</v>
      </c>
    </row>
    <row r="297" spans="1:13" x14ac:dyDescent="0.25">
      <c r="A297" s="11">
        <f>'DA - 56'!C121</f>
        <v>460</v>
      </c>
      <c r="B297" s="11">
        <f>'DA - 56'!D121</f>
        <v>430</v>
      </c>
      <c r="C297" s="11">
        <f>'DA - 56'!E121</f>
        <v>510</v>
      </c>
      <c r="D297" s="11">
        <f>'DA - 56'!G121</f>
        <v>675</v>
      </c>
      <c r="E297" s="11" t="str">
        <f>'DA - 56'!B121</f>
        <v>Frame: 56 ----- Stem: 70x60  ----- Aluminium Aerobar + 20</v>
      </c>
      <c r="F297" s="11">
        <f t="shared" si="40"/>
        <v>1</v>
      </c>
      <c r="G297" s="11" t="str">
        <f t="shared" si="41"/>
        <v/>
      </c>
      <c r="H297" s="11" t="str">
        <f t="shared" si="42"/>
        <v/>
      </c>
      <c r="I297" s="11">
        <f t="shared" si="43"/>
        <v>10</v>
      </c>
      <c r="J297" s="11">
        <v>1</v>
      </c>
      <c r="K297" s="11">
        <f t="shared" si="44"/>
        <v>1</v>
      </c>
      <c r="L297" s="11" t="str">
        <f>'DA - 56'!H121</f>
        <v xml:space="preserve">Aerobar Bolts: Top 20mm; Bottom 15mm </v>
      </c>
      <c r="M297" s="11" t="s">
        <v>11</v>
      </c>
    </row>
    <row r="298" spans="1:13" x14ac:dyDescent="0.25">
      <c r="A298" s="11">
        <f>'DA - 56'!C122</f>
        <v>460</v>
      </c>
      <c r="B298" s="11">
        <f>'DA - 56'!D122</f>
        <v>430</v>
      </c>
      <c r="C298" s="11">
        <f>'DA - 56'!E122</f>
        <v>510</v>
      </c>
      <c r="D298" s="11">
        <f>'DA - 56'!G122</f>
        <v>680</v>
      </c>
      <c r="E298" s="11" t="str">
        <f>'DA - 56'!B122</f>
        <v>Frame: 56 ----- Stem: 70x60  ----- Aluminium Aerobar + 20 + 5</v>
      </c>
      <c r="F298" s="11">
        <f t="shared" si="40"/>
        <v>1</v>
      </c>
      <c r="G298" s="11" t="str">
        <f t="shared" si="41"/>
        <v/>
      </c>
      <c r="H298" s="11" t="str">
        <f t="shared" si="42"/>
        <v/>
      </c>
      <c r="I298" s="11">
        <f t="shared" si="43"/>
        <v>10</v>
      </c>
      <c r="J298" s="11">
        <v>1</v>
      </c>
      <c r="K298" s="11">
        <f t="shared" si="44"/>
        <v>1</v>
      </c>
      <c r="L298" s="11" t="str">
        <f>'DA - 56'!H122</f>
        <v xml:space="preserve">Aerobar Bolts: Top 25mm; Bottom 15mm </v>
      </c>
      <c r="M298" s="11" t="s">
        <v>11</v>
      </c>
    </row>
    <row r="299" spans="1:13" x14ac:dyDescent="0.25">
      <c r="A299" s="11">
        <f>'DA - 56'!C123</f>
        <v>460</v>
      </c>
      <c r="B299" s="11">
        <f>'DA - 56'!D123</f>
        <v>430</v>
      </c>
      <c r="C299" s="11">
        <f>'DA - 56'!E123</f>
        <v>510</v>
      </c>
      <c r="D299" s="11">
        <f>'DA - 56'!G123</f>
        <v>680</v>
      </c>
      <c r="E299" s="11" t="str">
        <f>'DA - 56'!B123</f>
        <v>Frame: 56 ----- Stem: 70x60  ----- Aluminium Aerobar + 20 + bridge</v>
      </c>
      <c r="F299" s="11">
        <f t="shared" si="40"/>
        <v>1</v>
      </c>
      <c r="G299" s="11" t="str">
        <f t="shared" si="41"/>
        <v/>
      </c>
      <c r="H299" s="11" t="str">
        <f t="shared" si="42"/>
        <v/>
      </c>
      <c r="I299" s="11">
        <f t="shared" si="43"/>
        <v>10</v>
      </c>
      <c r="J299" s="11">
        <v>1</v>
      </c>
      <c r="K299" s="11">
        <f t="shared" si="44"/>
        <v>1</v>
      </c>
      <c r="L299" s="11" t="str">
        <f>'DA - 56'!H123</f>
        <v xml:space="preserve">Aerobar Bolts: Top 25mm; Bottom 15mm </v>
      </c>
      <c r="M299" s="11" t="s">
        <v>11</v>
      </c>
    </row>
    <row r="300" spans="1:13" x14ac:dyDescent="0.25">
      <c r="A300" s="11">
        <f>'DA - 56'!C124</f>
        <v>460</v>
      </c>
      <c r="B300" s="11">
        <f>'DA - 56'!D124</f>
        <v>430</v>
      </c>
      <c r="C300" s="11">
        <f>'DA - 56'!E124</f>
        <v>510</v>
      </c>
      <c r="D300" s="11">
        <f>'DA - 56'!G124</f>
        <v>685</v>
      </c>
      <c r="E300" s="11" t="str">
        <f>'DA - 56'!B124</f>
        <v>Frame: 56 ----- Stem: 70x60  ----- Aluminium Aerobar + 30</v>
      </c>
      <c r="F300" s="11">
        <f t="shared" si="40"/>
        <v>1</v>
      </c>
      <c r="G300" s="11">
        <f t="shared" si="41"/>
        <v>1</v>
      </c>
      <c r="H300" s="11" t="str">
        <f t="shared" si="42"/>
        <v/>
      </c>
      <c r="I300" s="11">
        <f t="shared" si="43"/>
        <v>10</v>
      </c>
      <c r="J300" s="11">
        <v>1</v>
      </c>
      <c r="K300" s="11">
        <f t="shared" si="44"/>
        <v>1</v>
      </c>
      <c r="L300" s="11" t="str">
        <f>'DA - 56'!H124</f>
        <v xml:space="preserve">Aerobar Bolts: Top 25mm; Bottom 15mm </v>
      </c>
      <c r="M300" s="11" t="s">
        <v>11</v>
      </c>
    </row>
    <row r="301" spans="1:13" x14ac:dyDescent="0.25">
      <c r="A301" s="11">
        <f>'DA - 56'!C125</f>
        <v>460</v>
      </c>
      <c r="B301" s="11">
        <f>'DA - 56'!D125</f>
        <v>430</v>
      </c>
      <c r="C301" s="11">
        <f>'DA - 56'!E125</f>
        <v>510</v>
      </c>
      <c r="D301" s="11">
        <f>'DA - 56'!G125</f>
        <v>685</v>
      </c>
      <c r="E301" s="11" t="str">
        <f>'DA - 56'!B125</f>
        <v>Frame: 56 ----- Stem: 70x60  ----- Aluminium Aerobar + 20 + bridge + 5</v>
      </c>
      <c r="F301" s="11">
        <f t="shared" si="40"/>
        <v>1</v>
      </c>
      <c r="G301" s="11" t="str">
        <f t="shared" si="41"/>
        <v/>
      </c>
      <c r="H301" s="11" t="str">
        <f t="shared" si="42"/>
        <v/>
      </c>
      <c r="I301" s="11">
        <f t="shared" si="43"/>
        <v>10</v>
      </c>
      <c r="J301" s="11">
        <v>1</v>
      </c>
      <c r="K301" s="11">
        <f t="shared" si="44"/>
        <v>1</v>
      </c>
      <c r="L301" s="11" t="str">
        <f>'DA - 56'!H125</f>
        <v xml:space="preserve">Aerobar Bolts: Top 25mm; Bottom 15mm </v>
      </c>
      <c r="M301" s="11" t="s">
        <v>11</v>
      </c>
    </row>
    <row r="302" spans="1:13" x14ac:dyDescent="0.25">
      <c r="A302" s="11">
        <f>'DA - 56'!C126</f>
        <v>460</v>
      </c>
      <c r="B302" s="11">
        <f>'DA - 56'!D126</f>
        <v>430</v>
      </c>
      <c r="C302" s="11">
        <f>'DA - 56'!E126</f>
        <v>510</v>
      </c>
      <c r="D302" s="11">
        <f>'DA - 56'!G126</f>
        <v>690</v>
      </c>
      <c r="E302" s="11" t="str">
        <f>'DA - 56'!B126</f>
        <v>Frame: 56 ----- Stem: 70x60  ----- Aluminium Aerobar + 30 + bridge</v>
      </c>
      <c r="F302" s="11">
        <f t="shared" si="40"/>
        <v>1</v>
      </c>
      <c r="G302" s="11">
        <f t="shared" si="41"/>
        <v>1</v>
      </c>
      <c r="H302" s="11" t="str">
        <f t="shared" si="42"/>
        <v/>
      </c>
      <c r="I302" s="11">
        <f t="shared" si="43"/>
        <v>10</v>
      </c>
      <c r="J302" s="11">
        <v>1</v>
      </c>
      <c r="K302" s="11">
        <f t="shared" si="44"/>
        <v>1</v>
      </c>
      <c r="L302" s="11" t="str">
        <f>'DA - 56'!H126</f>
        <v xml:space="preserve">Aerobar Bolts: Top 30mm; Bottom 15mm </v>
      </c>
      <c r="M302" s="11" t="s">
        <v>11</v>
      </c>
    </row>
    <row r="303" spans="1:13" x14ac:dyDescent="0.25">
      <c r="A303" s="11">
        <f>'DA - 56'!C127</f>
        <v>460</v>
      </c>
      <c r="B303" s="11">
        <f>'DA - 56'!D127</f>
        <v>430</v>
      </c>
      <c r="C303" s="11">
        <f>'DA - 56'!E127</f>
        <v>510</v>
      </c>
      <c r="D303" s="11">
        <f>'DA - 56'!G127</f>
        <v>695</v>
      </c>
      <c r="E303" s="11" t="str">
        <f>'DA - 56'!B127</f>
        <v>Frame: 56 ----- Stem: 70x60  ----- Aluminium Aerobar + 30 + bridge + 5</v>
      </c>
      <c r="F303" s="11">
        <f t="shared" si="40"/>
        <v>1</v>
      </c>
      <c r="G303" s="11">
        <f t="shared" si="41"/>
        <v>1</v>
      </c>
      <c r="H303" s="11" t="str">
        <f t="shared" si="42"/>
        <v/>
      </c>
      <c r="I303" s="11">
        <f t="shared" si="43"/>
        <v>10</v>
      </c>
      <c r="J303" s="11">
        <v>1</v>
      </c>
      <c r="K303" s="11">
        <f t="shared" si="44"/>
        <v>1</v>
      </c>
      <c r="L303" s="11" t="str">
        <f>'DA - 56'!H127</f>
        <v xml:space="preserve">Aerobar Bolts: Top 30mm; Bottom 15mm </v>
      </c>
      <c r="M303" s="11" t="s">
        <v>11</v>
      </c>
    </row>
    <row r="304" spans="1:13" x14ac:dyDescent="0.25">
      <c r="A304" s="11">
        <f>'DA - 56'!C128</f>
        <v>460</v>
      </c>
      <c r="B304" s="11">
        <f>'DA - 56'!D128</f>
        <v>430</v>
      </c>
      <c r="C304" s="11">
        <f>'DA - 56'!E128</f>
        <v>510</v>
      </c>
      <c r="D304" s="11">
        <f>'DA - 56'!G128</f>
        <v>700</v>
      </c>
      <c r="E304" s="11" t="str">
        <f>'DA - 56'!B128</f>
        <v>Frame: 56 ----- Stem: 70x60  ----- Aluminium Aerobar + 40 + bridge</v>
      </c>
      <c r="F304" s="11">
        <f t="shared" si="40"/>
        <v>1</v>
      </c>
      <c r="G304" s="11" t="str">
        <f t="shared" si="41"/>
        <v/>
      </c>
      <c r="H304" s="11">
        <f t="shared" si="42"/>
        <v>1</v>
      </c>
      <c r="I304" s="11">
        <f t="shared" si="43"/>
        <v>10</v>
      </c>
      <c r="J304" s="11">
        <v>1</v>
      </c>
      <c r="K304" s="11">
        <f t="shared" si="44"/>
        <v>1</v>
      </c>
      <c r="L304" s="11" t="str">
        <f>'DA - 56'!H128</f>
        <v xml:space="preserve">Aerobar Bolts: Top 35mm; Bottom 15mm </v>
      </c>
      <c r="M304" s="11" t="s">
        <v>11</v>
      </c>
    </row>
    <row r="305" spans="1:13" x14ac:dyDescent="0.25">
      <c r="A305" s="11">
        <f>'DA - 56'!C129</f>
        <v>460</v>
      </c>
      <c r="B305" s="11">
        <f>'DA - 56'!D129</f>
        <v>430</v>
      </c>
      <c r="C305" s="11">
        <f>'DA - 56'!E129</f>
        <v>510</v>
      </c>
      <c r="D305" s="11">
        <f>'DA - 56'!G129</f>
        <v>705</v>
      </c>
      <c r="E305" s="11" t="str">
        <f>'DA - 56'!B129</f>
        <v>Frame: 56 ----- Stem: 70x60  ----- Aluminium Aerobar + 40 + bridge + 5</v>
      </c>
      <c r="F305" s="11">
        <f t="shared" si="40"/>
        <v>1</v>
      </c>
      <c r="G305" s="11" t="str">
        <f t="shared" si="41"/>
        <v/>
      </c>
      <c r="H305" s="11">
        <f t="shared" si="42"/>
        <v>1</v>
      </c>
      <c r="I305" s="11">
        <f t="shared" si="43"/>
        <v>10</v>
      </c>
      <c r="J305" s="11">
        <v>1</v>
      </c>
      <c r="K305" s="11">
        <f t="shared" si="44"/>
        <v>1</v>
      </c>
      <c r="L305" s="11" t="str">
        <f>'DA - 56'!H129</f>
        <v xml:space="preserve">Aerobar Bolts: Top 35mm; Bottom 15mm </v>
      </c>
      <c r="M305" s="11" t="s">
        <v>11</v>
      </c>
    </row>
    <row r="306" spans="1:13" x14ac:dyDescent="0.25">
      <c r="A306" s="11">
        <f>'DA - 56'!C130</f>
        <v>460</v>
      </c>
      <c r="B306" s="11">
        <f>'DA - 56'!D130</f>
        <v>430</v>
      </c>
      <c r="C306" s="11">
        <f>'DA - 56'!E130</f>
        <v>510</v>
      </c>
      <c r="D306" s="11">
        <f>'DA - 56'!G130</f>
        <v>710</v>
      </c>
      <c r="E306" s="11" t="str">
        <f>'DA - 56'!B130</f>
        <v>Frame: 56 ----- Stem: 70x60  ----- Aluminium Aerobar + 40 + bridge + 10</v>
      </c>
      <c r="F306" s="11">
        <f t="shared" si="40"/>
        <v>1</v>
      </c>
      <c r="G306" s="11" t="str">
        <f t="shared" si="41"/>
        <v/>
      </c>
      <c r="H306" s="11">
        <f t="shared" si="42"/>
        <v>1</v>
      </c>
      <c r="I306" s="11">
        <f t="shared" si="43"/>
        <v>10</v>
      </c>
      <c r="J306" s="11">
        <v>1</v>
      </c>
      <c r="K306" s="11">
        <f t="shared" si="44"/>
        <v>1</v>
      </c>
      <c r="L306" s="11" t="str">
        <f>'DA - 56'!H130</f>
        <v xml:space="preserve">Aerobar Bolts: Top 35mm; Bottom 15mm </v>
      </c>
      <c r="M306" s="11" t="s">
        <v>11</v>
      </c>
    </row>
    <row r="307" spans="1:13" x14ac:dyDescent="0.25">
      <c r="A307" s="11">
        <f>'DA - 56'!C131</f>
        <v>460</v>
      </c>
      <c r="B307" s="11">
        <f>'DA - 56'!D131</f>
        <v>430</v>
      </c>
      <c r="C307" s="11">
        <f>'DA - 56'!E131</f>
        <v>510</v>
      </c>
      <c r="D307" s="11">
        <f>'DA - 56'!G131</f>
        <v>715</v>
      </c>
      <c r="E307" s="11" t="str">
        <f>'DA - 56'!B131</f>
        <v>Frame: 56 ----- Stem: 70x60  ----- Aluminium Aerobar + 40 + bridge + 10 + 5</v>
      </c>
      <c r="F307" s="11">
        <f t="shared" si="40"/>
        <v>1</v>
      </c>
      <c r="G307" s="11" t="str">
        <f t="shared" si="41"/>
        <v/>
      </c>
      <c r="H307" s="11">
        <f t="shared" si="42"/>
        <v>1</v>
      </c>
      <c r="I307" s="11">
        <f t="shared" si="43"/>
        <v>10</v>
      </c>
      <c r="J307" s="11">
        <v>1</v>
      </c>
      <c r="K307" s="11">
        <f t="shared" si="44"/>
        <v>1</v>
      </c>
      <c r="L307" s="11" t="str">
        <f>'DA - 56'!H131</f>
        <v xml:space="preserve">Aerobar Bolts: Top 35mm; Bottom 25mm </v>
      </c>
      <c r="M307" s="11" t="s">
        <v>11</v>
      </c>
    </row>
    <row r="308" spans="1:13" x14ac:dyDescent="0.25">
      <c r="A308" s="11">
        <f>'DA - 56'!C132</f>
        <v>500</v>
      </c>
      <c r="B308" s="11">
        <f>'DA - 56'!D132</f>
        <v>470</v>
      </c>
      <c r="C308" s="11">
        <f>'DA - 56'!E132</f>
        <v>550</v>
      </c>
      <c r="D308" s="11">
        <f>'DA - 56'!G132</f>
        <v>625</v>
      </c>
      <c r="E308" s="11" t="str">
        <f>'DA - 56'!B132</f>
        <v>Frame: 56 ----- Stem: 100x30  ----- Aluminium Aerobar</v>
      </c>
      <c r="F308" s="11">
        <f t="shared" si="40"/>
        <v>1</v>
      </c>
      <c r="G308" s="11" t="str">
        <f t="shared" si="41"/>
        <v/>
      </c>
      <c r="H308" s="11" t="str">
        <f t="shared" si="42"/>
        <v/>
      </c>
      <c r="I308" s="11">
        <f t="shared" si="43"/>
        <v>-30</v>
      </c>
      <c r="J308" s="11">
        <v>1</v>
      </c>
      <c r="K308" s="11">
        <f t="shared" si="44"/>
        <v>1</v>
      </c>
      <c r="L308" s="11" t="str">
        <f>'DA - 56'!H132</f>
        <v xml:space="preserve">Aerobar Bolts: Top 20mm; Bottom N/A </v>
      </c>
    </row>
    <row r="309" spans="1:13" x14ac:dyDescent="0.25">
      <c r="A309" s="11">
        <f>'DA - 56'!C133</f>
        <v>500</v>
      </c>
      <c r="B309" s="11">
        <f>'DA - 56'!D133</f>
        <v>470</v>
      </c>
      <c r="C309" s="11">
        <f>'DA - 56'!E133</f>
        <v>550</v>
      </c>
      <c r="D309" s="11">
        <f>'DA - 56'!G133</f>
        <v>630</v>
      </c>
      <c r="E309" s="11" t="str">
        <f>'DA - 56'!B133</f>
        <v>Frame: 56 ----- Stem: 100x30  ----- Aluminium Aerobar + 5</v>
      </c>
      <c r="F309" s="11">
        <f t="shared" si="40"/>
        <v>1</v>
      </c>
      <c r="G309" s="11" t="str">
        <f t="shared" si="41"/>
        <v/>
      </c>
      <c r="H309" s="11" t="str">
        <f t="shared" si="42"/>
        <v/>
      </c>
      <c r="I309" s="11">
        <f t="shared" si="43"/>
        <v>-30</v>
      </c>
      <c r="J309" s="11">
        <v>1</v>
      </c>
      <c r="K309" s="11">
        <f t="shared" si="44"/>
        <v>1</v>
      </c>
      <c r="L309" s="11" t="str">
        <f>'DA - 56'!H133</f>
        <v xml:space="preserve">Aerobar Bolts: Top 25mm; Bottom N/A </v>
      </c>
    </row>
    <row r="310" spans="1:13" x14ac:dyDescent="0.25">
      <c r="A310" s="11">
        <f>'DA - 56'!C134</f>
        <v>500</v>
      </c>
      <c r="B310" s="11">
        <f>'DA - 56'!D134</f>
        <v>470</v>
      </c>
      <c r="C310" s="11">
        <f>'DA - 56'!E134</f>
        <v>550</v>
      </c>
      <c r="D310" s="11">
        <f>'DA - 56'!G134</f>
        <v>635</v>
      </c>
      <c r="E310" s="11" t="str">
        <f>'DA - 56'!B134</f>
        <v>Frame: 56 ----- Stem: 100x30  ----- Aluminium Aerobar + 10</v>
      </c>
      <c r="F310" s="11">
        <f t="shared" si="40"/>
        <v>1</v>
      </c>
      <c r="G310" s="11" t="str">
        <f t="shared" si="41"/>
        <v/>
      </c>
      <c r="H310" s="11" t="str">
        <f t="shared" si="42"/>
        <v/>
      </c>
      <c r="I310" s="11">
        <f t="shared" si="43"/>
        <v>-30</v>
      </c>
      <c r="J310" s="11">
        <v>1</v>
      </c>
      <c r="K310" s="11">
        <f t="shared" si="44"/>
        <v>1</v>
      </c>
      <c r="L310" s="11" t="str">
        <f>'DA - 56'!H134</f>
        <v xml:space="preserve">Aerobar Bolts: Top 30mm; Bottom N/A </v>
      </c>
    </row>
    <row r="311" spans="1:13" x14ac:dyDescent="0.25">
      <c r="A311" s="11">
        <f>'DA - 56'!C135</f>
        <v>500</v>
      </c>
      <c r="B311" s="11">
        <f>'DA - 56'!D135</f>
        <v>470</v>
      </c>
      <c r="C311" s="11">
        <f>'DA - 56'!E135</f>
        <v>550</v>
      </c>
      <c r="D311" s="11">
        <f>'DA - 56'!G135</f>
        <v>640</v>
      </c>
      <c r="E311" s="11" t="str">
        <f>'DA - 56'!B135</f>
        <v>Frame: 56 ----- Stem: 100x30  ----- Aluminium Aerobar + 5 + 10</v>
      </c>
      <c r="F311" s="11">
        <f t="shared" si="40"/>
        <v>1</v>
      </c>
      <c r="G311" s="11" t="str">
        <f t="shared" si="41"/>
        <v/>
      </c>
      <c r="H311" s="11" t="str">
        <f t="shared" si="42"/>
        <v/>
      </c>
      <c r="I311" s="11">
        <f t="shared" si="43"/>
        <v>-30</v>
      </c>
      <c r="J311" s="11">
        <v>1</v>
      </c>
      <c r="K311" s="11">
        <f t="shared" si="44"/>
        <v>1</v>
      </c>
      <c r="L311" s="11" t="str">
        <f>'DA - 56'!H135</f>
        <v xml:space="preserve">Aerobar Bolts: Top 35mm; Bottom N/A </v>
      </c>
    </row>
    <row r="312" spans="1:13" x14ac:dyDescent="0.25">
      <c r="A312" s="11">
        <f>'DA - 56'!C136</f>
        <v>500</v>
      </c>
      <c r="B312" s="11">
        <f>'DA - 56'!D136</f>
        <v>470</v>
      </c>
      <c r="C312" s="11">
        <f>'DA - 56'!E136</f>
        <v>550</v>
      </c>
      <c r="D312" s="11">
        <f>'DA - 56'!G136</f>
        <v>645</v>
      </c>
      <c r="E312" s="11" t="str">
        <f>'DA - 56'!B136</f>
        <v>Frame: 56 ----- Stem: 100x30  ----- Aluminium Aerobar + 20</v>
      </c>
      <c r="F312" s="11">
        <f t="shared" si="40"/>
        <v>1</v>
      </c>
      <c r="G312" s="11" t="str">
        <f t="shared" si="41"/>
        <v/>
      </c>
      <c r="H312" s="11" t="str">
        <f t="shared" si="42"/>
        <v/>
      </c>
      <c r="I312" s="11">
        <f t="shared" si="43"/>
        <v>-30</v>
      </c>
      <c r="J312" s="11">
        <v>1</v>
      </c>
      <c r="K312" s="11">
        <f t="shared" si="44"/>
        <v>1</v>
      </c>
      <c r="L312" s="11" t="str">
        <f>'DA - 56'!H136</f>
        <v xml:space="preserve">Aerobar Bolts: Top 20mm; Bottom 15mm </v>
      </c>
    </row>
    <row r="313" spans="1:13" x14ac:dyDescent="0.25">
      <c r="A313" s="11">
        <f>'DA - 56'!C137</f>
        <v>500</v>
      </c>
      <c r="B313" s="11">
        <f>'DA - 56'!D137</f>
        <v>470</v>
      </c>
      <c r="C313" s="11">
        <f>'DA - 56'!E137</f>
        <v>550</v>
      </c>
      <c r="D313" s="11">
        <f>'DA - 56'!G137</f>
        <v>650</v>
      </c>
      <c r="E313" s="11" t="str">
        <f>'DA - 56'!B137</f>
        <v>Frame: 56 ----- Stem: 100x30  ----- Aluminium Aerobar + 20 + 5</v>
      </c>
      <c r="F313" s="11">
        <f t="shared" si="40"/>
        <v>1</v>
      </c>
      <c r="G313" s="11" t="str">
        <f t="shared" si="41"/>
        <v/>
      </c>
      <c r="H313" s="11" t="str">
        <f t="shared" si="42"/>
        <v/>
      </c>
      <c r="I313" s="11">
        <f t="shared" si="43"/>
        <v>-30</v>
      </c>
      <c r="J313" s="11">
        <v>1</v>
      </c>
      <c r="K313" s="11">
        <f t="shared" si="44"/>
        <v>1</v>
      </c>
      <c r="L313" s="11" t="str">
        <f>'DA - 56'!H137</f>
        <v xml:space="preserve">Aerobar Bolts: Top 25mm; Bottom 15mm </v>
      </c>
    </row>
    <row r="314" spans="1:13" x14ac:dyDescent="0.25">
      <c r="A314" s="11">
        <f>'DA - 56'!C138</f>
        <v>500</v>
      </c>
      <c r="B314" s="11">
        <f>'DA - 56'!D138</f>
        <v>470</v>
      </c>
      <c r="C314" s="11">
        <f>'DA - 56'!E138</f>
        <v>550</v>
      </c>
      <c r="D314" s="11">
        <f>'DA - 56'!G138</f>
        <v>650</v>
      </c>
      <c r="E314" s="11" t="str">
        <f>'DA - 56'!B138</f>
        <v>Frame: 56 ----- Stem: 100x30  ----- Aluminium Aerobar + 20 + bridge</v>
      </c>
      <c r="F314" s="11">
        <f t="shared" si="40"/>
        <v>1</v>
      </c>
      <c r="G314" s="11" t="str">
        <f t="shared" si="41"/>
        <v/>
      </c>
      <c r="H314" s="11" t="str">
        <f t="shared" si="42"/>
        <v/>
      </c>
      <c r="I314" s="11">
        <f t="shared" si="43"/>
        <v>-30</v>
      </c>
      <c r="J314" s="11">
        <v>1</v>
      </c>
      <c r="K314" s="11">
        <f t="shared" si="44"/>
        <v>1</v>
      </c>
      <c r="L314" s="11" t="str">
        <f>'DA - 56'!H138</f>
        <v xml:space="preserve">Aerobar Bolts: Top 25mm; Bottom 15mm </v>
      </c>
    </row>
    <row r="315" spans="1:13" x14ac:dyDescent="0.25">
      <c r="A315" s="11">
        <f>'DA - 56'!C139</f>
        <v>500</v>
      </c>
      <c r="B315" s="11">
        <f>'DA - 56'!D139</f>
        <v>470</v>
      </c>
      <c r="C315" s="11">
        <f>'DA - 56'!E139</f>
        <v>550</v>
      </c>
      <c r="D315" s="11">
        <f>'DA - 56'!G139</f>
        <v>655</v>
      </c>
      <c r="E315" s="11" t="str">
        <f>'DA - 56'!B139</f>
        <v>Frame: 56 ----- Stem: 100x30  ----- Aluminium Aerobar + 30</v>
      </c>
      <c r="F315" s="11">
        <f t="shared" si="40"/>
        <v>1</v>
      </c>
      <c r="G315" s="11">
        <f t="shared" si="41"/>
        <v>1</v>
      </c>
      <c r="H315" s="11" t="str">
        <f t="shared" si="42"/>
        <v/>
      </c>
      <c r="I315" s="11">
        <f t="shared" si="43"/>
        <v>-30</v>
      </c>
      <c r="J315" s="11">
        <v>1</v>
      </c>
      <c r="K315" s="11">
        <f t="shared" si="44"/>
        <v>1</v>
      </c>
      <c r="L315" s="11" t="str">
        <f>'DA - 56'!H139</f>
        <v xml:space="preserve">Aerobar Bolts: Top 25mm; Bottom 15mm </v>
      </c>
    </row>
    <row r="316" spans="1:13" x14ac:dyDescent="0.25">
      <c r="A316" s="11">
        <f>'DA - 56'!C140</f>
        <v>500</v>
      </c>
      <c r="B316" s="11">
        <f>'DA - 56'!D140</f>
        <v>470</v>
      </c>
      <c r="C316" s="11">
        <f>'DA - 56'!E140</f>
        <v>550</v>
      </c>
      <c r="D316" s="11">
        <f>'DA - 56'!G140</f>
        <v>655</v>
      </c>
      <c r="E316" s="11" t="str">
        <f>'DA - 56'!B140</f>
        <v>Frame: 56 ----- Stem: 100x30  ----- Aluminium Aerobar + 20 + bridge + 5</v>
      </c>
      <c r="F316" s="11">
        <f t="shared" si="40"/>
        <v>1</v>
      </c>
      <c r="G316" s="11" t="str">
        <f t="shared" si="41"/>
        <v/>
      </c>
      <c r="H316" s="11" t="str">
        <f t="shared" si="42"/>
        <v/>
      </c>
      <c r="I316" s="11">
        <f t="shared" si="43"/>
        <v>-30</v>
      </c>
      <c r="J316" s="11">
        <v>1</v>
      </c>
      <c r="K316" s="11">
        <f t="shared" si="44"/>
        <v>1</v>
      </c>
      <c r="L316" s="11" t="str">
        <f>'DA - 56'!H140</f>
        <v xml:space="preserve">Aerobar Bolts: Top 25mm; Bottom 15mm </v>
      </c>
    </row>
    <row r="317" spans="1:13" x14ac:dyDescent="0.25">
      <c r="A317" s="11">
        <f>'DA - 56'!C141</f>
        <v>500</v>
      </c>
      <c r="B317" s="11">
        <f>'DA - 56'!D141</f>
        <v>470</v>
      </c>
      <c r="C317" s="11">
        <f>'DA - 56'!E141</f>
        <v>550</v>
      </c>
      <c r="D317" s="11">
        <f>'DA - 56'!G141</f>
        <v>660</v>
      </c>
      <c r="E317" s="11" t="str">
        <f>'DA - 56'!B141</f>
        <v>Frame: 56 ----- Stem: 100x30  ----- Aluminium Aerobar + 30 + bridge</v>
      </c>
      <c r="F317" s="11">
        <f t="shared" si="40"/>
        <v>1</v>
      </c>
      <c r="G317" s="11">
        <f t="shared" si="41"/>
        <v>1</v>
      </c>
      <c r="H317" s="11" t="str">
        <f t="shared" si="42"/>
        <v/>
      </c>
      <c r="I317" s="11">
        <f t="shared" si="43"/>
        <v>-30</v>
      </c>
      <c r="J317" s="11">
        <v>1</v>
      </c>
      <c r="K317" s="11">
        <f t="shared" si="44"/>
        <v>1</v>
      </c>
      <c r="L317" s="11" t="str">
        <f>'DA - 56'!H141</f>
        <v xml:space="preserve">Aerobar Bolts: Top 30mm; Bottom 15mm </v>
      </c>
    </row>
    <row r="318" spans="1:13" x14ac:dyDescent="0.25">
      <c r="A318" s="11">
        <f>'DA - 56'!C142</f>
        <v>500</v>
      </c>
      <c r="B318" s="11">
        <f>'DA - 56'!D142</f>
        <v>470</v>
      </c>
      <c r="C318" s="11">
        <f>'DA - 56'!E142</f>
        <v>550</v>
      </c>
      <c r="D318" s="11">
        <f>'DA - 56'!G142</f>
        <v>665</v>
      </c>
      <c r="E318" s="11" t="str">
        <f>'DA - 56'!B142</f>
        <v>Frame: 56 ----- Stem: 100x30  ----- Aluminium Aerobar + 30 + bridge + 5</v>
      </c>
      <c r="F318" s="11">
        <f t="shared" si="40"/>
        <v>1</v>
      </c>
      <c r="G318" s="11">
        <f t="shared" si="41"/>
        <v>1</v>
      </c>
      <c r="H318" s="11" t="str">
        <f t="shared" si="42"/>
        <v/>
      </c>
      <c r="I318" s="11">
        <f t="shared" si="43"/>
        <v>-30</v>
      </c>
      <c r="J318" s="11">
        <v>1</v>
      </c>
      <c r="K318" s="11">
        <f t="shared" si="44"/>
        <v>1</v>
      </c>
      <c r="L318" s="11" t="str">
        <f>'DA - 56'!H142</f>
        <v xml:space="preserve">Aerobar Bolts: Top 30mm; Bottom 15mm </v>
      </c>
    </row>
    <row r="319" spans="1:13" x14ac:dyDescent="0.25">
      <c r="A319" s="11">
        <f>'DA - 56'!C143</f>
        <v>500</v>
      </c>
      <c r="B319" s="11">
        <f>'DA - 56'!D143</f>
        <v>470</v>
      </c>
      <c r="C319" s="11">
        <f>'DA - 56'!E143</f>
        <v>550</v>
      </c>
      <c r="D319" s="11">
        <f>'DA - 56'!G143</f>
        <v>670</v>
      </c>
      <c r="E319" s="11" t="str">
        <f>'DA - 56'!B143</f>
        <v>Frame: 56 ----- Stem: 100x30  ----- Aluminium Aerobar + 40 + bridge</v>
      </c>
      <c r="F319" s="11">
        <f t="shared" si="40"/>
        <v>1</v>
      </c>
      <c r="G319" s="11" t="str">
        <f t="shared" si="41"/>
        <v/>
      </c>
      <c r="H319" s="11">
        <f t="shared" si="42"/>
        <v>1</v>
      </c>
      <c r="I319" s="11">
        <f t="shared" si="43"/>
        <v>-30</v>
      </c>
      <c r="J319" s="11">
        <v>1</v>
      </c>
      <c r="K319" s="11">
        <f t="shared" si="44"/>
        <v>1</v>
      </c>
      <c r="L319" s="11" t="str">
        <f>'DA - 56'!H143</f>
        <v xml:space="preserve">Aerobar Bolts: Top 35mm; Bottom 15mm </v>
      </c>
    </row>
    <row r="320" spans="1:13" x14ac:dyDescent="0.25">
      <c r="A320" s="11">
        <f>'DA - 56'!C144</f>
        <v>500</v>
      </c>
      <c r="B320" s="11">
        <f>'DA - 56'!D144</f>
        <v>470</v>
      </c>
      <c r="C320" s="11">
        <f>'DA - 56'!E144</f>
        <v>550</v>
      </c>
      <c r="D320" s="11">
        <f>'DA - 56'!G144</f>
        <v>675</v>
      </c>
      <c r="E320" s="11" t="str">
        <f>'DA - 56'!B144</f>
        <v>Frame: 56 ----- Stem: 100x30  ----- Aluminium Aerobar + 40 + bridge + 5</v>
      </c>
      <c r="F320" s="11">
        <f t="shared" si="40"/>
        <v>1</v>
      </c>
      <c r="G320" s="11" t="str">
        <f t="shared" si="41"/>
        <v/>
      </c>
      <c r="H320" s="11">
        <f t="shared" si="42"/>
        <v>1</v>
      </c>
      <c r="I320" s="11">
        <f t="shared" si="43"/>
        <v>-30</v>
      </c>
      <c r="J320" s="11">
        <v>1</v>
      </c>
      <c r="K320" s="11">
        <f t="shared" si="44"/>
        <v>1</v>
      </c>
      <c r="L320" s="11" t="str">
        <f>'DA - 56'!H144</f>
        <v xml:space="preserve">Aerobar Bolts: Top 35mm; Bottom 15mm </v>
      </c>
    </row>
    <row r="321" spans="1:12" x14ac:dyDescent="0.25">
      <c r="A321" s="11">
        <f>'DA - 56'!C145</f>
        <v>500</v>
      </c>
      <c r="B321" s="11">
        <f>'DA - 56'!D145</f>
        <v>470</v>
      </c>
      <c r="C321" s="11">
        <f>'DA - 56'!E145</f>
        <v>550</v>
      </c>
      <c r="D321" s="11">
        <f>'DA - 56'!G145</f>
        <v>680</v>
      </c>
      <c r="E321" s="11" t="str">
        <f>'DA - 56'!B145</f>
        <v>Frame: 56 ----- Stem: 100x30  ----- Aluminium Aerobar + 40 + bridge + 10</v>
      </c>
      <c r="F321" s="11">
        <f t="shared" ref="F321:F384" si="45">IF(AND($F$5&gt;=B321,$F$5&lt;=C321),1,"")</f>
        <v>1</v>
      </c>
      <c r="G321" s="11" t="str">
        <f t="shared" si="41"/>
        <v/>
      </c>
      <c r="H321" s="11">
        <f t="shared" si="42"/>
        <v>1</v>
      </c>
      <c r="I321" s="11">
        <f t="shared" si="43"/>
        <v>-30</v>
      </c>
      <c r="J321" s="11">
        <v>1</v>
      </c>
      <c r="K321" s="11">
        <f t="shared" si="44"/>
        <v>1</v>
      </c>
      <c r="L321" s="11" t="str">
        <f>'DA - 56'!H145</f>
        <v xml:space="preserve">Aerobar Bolts: Top 35mm; Bottom 15mm </v>
      </c>
    </row>
    <row r="322" spans="1:12" x14ac:dyDescent="0.25">
      <c r="A322" s="11">
        <f>'DA - 56'!C146</f>
        <v>500</v>
      </c>
      <c r="B322" s="11">
        <f>'DA - 56'!D146</f>
        <v>470</v>
      </c>
      <c r="C322" s="11">
        <f>'DA - 56'!E146</f>
        <v>550</v>
      </c>
      <c r="D322" s="11">
        <f>'DA - 56'!G146</f>
        <v>685</v>
      </c>
      <c r="E322" s="11" t="str">
        <f>'DA - 56'!B146</f>
        <v>Frame: 56 ----- Stem: 100x30  ----- Aluminium Aerobar + 40 + bridge + 10 + 5</v>
      </c>
      <c r="F322" s="11">
        <f t="shared" si="45"/>
        <v>1</v>
      </c>
      <c r="G322" s="11" t="str">
        <f t="shared" si="41"/>
        <v/>
      </c>
      <c r="H322" s="11">
        <f t="shared" si="42"/>
        <v>1</v>
      </c>
      <c r="I322" s="11">
        <f t="shared" si="43"/>
        <v>-30</v>
      </c>
      <c r="J322" s="11">
        <v>1</v>
      </c>
      <c r="K322" s="11">
        <f t="shared" si="44"/>
        <v>1</v>
      </c>
      <c r="L322" s="11" t="str">
        <f>'DA - 56'!H146</f>
        <v xml:space="preserve">Aerobar Bolts: Top 35mm; Bottom 25mm </v>
      </c>
    </row>
    <row r="323" spans="1:12" x14ac:dyDescent="0.25">
      <c r="A323" s="11">
        <f>'DA - 56'!C147</f>
        <v>490</v>
      </c>
      <c r="B323" s="11">
        <f>'DA - 56'!D147</f>
        <v>460</v>
      </c>
      <c r="C323" s="11">
        <f>'DA - 56'!E147</f>
        <v>540</v>
      </c>
      <c r="D323" s="11">
        <f>'DA - 56'!G147</f>
        <v>655</v>
      </c>
      <c r="E323" s="11" t="str">
        <f>'DA - 56'!B147</f>
        <v>Frame: 56 ----- Stem: 100x60  ----- Aluminium Aerobar</v>
      </c>
      <c r="F323" s="11">
        <f t="shared" si="45"/>
        <v>1</v>
      </c>
      <c r="G323" s="11" t="str">
        <f t="shared" si="41"/>
        <v/>
      </c>
      <c r="H323" s="11" t="str">
        <f t="shared" si="42"/>
        <v/>
      </c>
      <c r="I323" s="11">
        <f t="shared" si="43"/>
        <v>-20</v>
      </c>
      <c r="J323" s="11">
        <v>1</v>
      </c>
      <c r="K323" s="11">
        <f t="shared" si="44"/>
        <v>1</v>
      </c>
      <c r="L323" s="11" t="str">
        <f>'DA - 56'!H147</f>
        <v xml:space="preserve">Aerobar Bolts: Top 20mm; Bottom N/A </v>
      </c>
    </row>
    <row r="324" spans="1:12" x14ac:dyDescent="0.25">
      <c r="A324" s="11">
        <f>'DA - 56'!C148</f>
        <v>490</v>
      </c>
      <c r="B324" s="11">
        <f>'DA - 56'!D148</f>
        <v>460</v>
      </c>
      <c r="C324" s="11">
        <f>'DA - 56'!E148</f>
        <v>540</v>
      </c>
      <c r="D324" s="11">
        <f>'DA - 56'!G148</f>
        <v>660</v>
      </c>
      <c r="E324" s="11" t="str">
        <f>'DA - 56'!B148</f>
        <v>Frame: 56 ----- Stem: 100x60  ----- Aluminium Aerobar + 5</v>
      </c>
      <c r="F324" s="11">
        <f t="shared" si="45"/>
        <v>1</v>
      </c>
      <c r="G324" s="11" t="str">
        <f t="shared" si="41"/>
        <v/>
      </c>
      <c r="H324" s="11" t="str">
        <f t="shared" si="42"/>
        <v/>
      </c>
      <c r="I324" s="11">
        <f t="shared" si="43"/>
        <v>-20</v>
      </c>
      <c r="J324" s="11">
        <v>1</v>
      </c>
      <c r="K324" s="11">
        <f t="shared" si="44"/>
        <v>1</v>
      </c>
      <c r="L324" s="11" t="str">
        <f>'DA - 56'!H148</f>
        <v xml:space="preserve">Aerobar Bolts: Top 25mm; Bottom N/A </v>
      </c>
    </row>
    <row r="325" spans="1:12" x14ac:dyDescent="0.25">
      <c r="A325" s="11">
        <f>'DA - 56'!C149</f>
        <v>490</v>
      </c>
      <c r="B325" s="11">
        <f>'DA - 56'!D149</f>
        <v>460</v>
      </c>
      <c r="C325" s="11">
        <f>'DA - 56'!E149</f>
        <v>540</v>
      </c>
      <c r="D325" s="11">
        <f>'DA - 56'!G149</f>
        <v>665</v>
      </c>
      <c r="E325" s="11" t="str">
        <f>'DA - 56'!B149</f>
        <v>Frame: 56 ----- Stem: 100x60  ----- Aluminium Aerobar + 10</v>
      </c>
      <c r="F325" s="11">
        <f t="shared" si="45"/>
        <v>1</v>
      </c>
      <c r="G325" s="11" t="str">
        <f t="shared" si="41"/>
        <v/>
      </c>
      <c r="H325" s="11" t="str">
        <f t="shared" si="42"/>
        <v/>
      </c>
      <c r="I325" s="11">
        <f t="shared" si="43"/>
        <v>-20</v>
      </c>
      <c r="J325" s="11">
        <v>1</v>
      </c>
      <c r="K325" s="11">
        <f t="shared" si="44"/>
        <v>1</v>
      </c>
      <c r="L325" s="11" t="str">
        <f>'DA - 56'!H149</f>
        <v xml:space="preserve">Aerobar Bolts: Top 30mm; Bottom N/A </v>
      </c>
    </row>
    <row r="326" spans="1:12" x14ac:dyDescent="0.25">
      <c r="A326" s="11">
        <f>'DA - 56'!C150</f>
        <v>490</v>
      </c>
      <c r="B326" s="11">
        <f>'DA - 56'!D150</f>
        <v>460</v>
      </c>
      <c r="C326" s="11">
        <f>'DA - 56'!E150</f>
        <v>540</v>
      </c>
      <c r="D326" s="11">
        <f>'DA - 56'!G150</f>
        <v>670</v>
      </c>
      <c r="E326" s="11" t="str">
        <f>'DA - 56'!B150</f>
        <v>Frame: 56 ----- Stem: 100x60  ----- Aluminium Aerobar + 5 + 10</v>
      </c>
      <c r="F326" s="11">
        <f t="shared" si="45"/>
        <v>1</v>
      </c>
      <c r="G326" s="11" t="str">
        <f t="shared" si="41"/>
        <v/>
      </c>
      <c r="H326" s="11" t="str">
        <f t="shared" si="42"/>
        <v/>
      </c>
      <c r="I326" s="11">
        <f t="shared" si="43"/>
        <v>-20</v>
      </c>
      <c r="J326" s="11">
        <v>1</v>
      </c>
      <c r="K326" s="11">
        <f t="shared" si="44"/>
        <v>1</v>
      </c>
      <c r="L326" s="11" t="str">
        <f>'DA - 56'!H150</f>
        <v xml:space="preserve">Aerobar Bolts: Top 35mm; Bottom N/A </v>
      </c>
    </row>
    <row r="327" spans="1:12" x14ac:dyDescent="0.25">
      <c r="A327" s="11">
        <f>'DA - 56'!C151</f>
        <v>490</v>
      </c>
      <c r="B327" s="11">
        <f>'DA - 56'!D151</f>
        <v>460</v>
      </c>
      <c r="C327" s="11">
        <f>'DA - 56'!E151</f>
        <v>540</v>
      </c>
      <c r="D327" s="11">
        <f>'DA - 56'!G151</f>
        <v>675</v>
      </c>
      <c r="E327" s="11" t="str">
        <f>'DA - 56'!B151</f>
        <v>Frame: 56 ----- Stem: 100x60  ----- Aluminium Aerobar + 20</v>
      </c>
      <c r="F327" s="11">
        <f t="shared" si="45"/>
        <v>1</v>
      </c>
      <c r="G327" s="11" t="str">
        <f t="shared" si="41"/>
        <v/>
      </c>
      <c r="H327" s="11" t="str">
        <f t="shared" si="42"/>
        <v/>
      </c>
      <c r="I327" s="11">
        <f t="shared" si="43"/>
        <v>-20</v>
      </c>
      <c r="J327" s="11">
        <v>1</v>
      </c>
      <c r="K327" s="11">
        <f t="shared" si="44"/>
        <v>1</v>
      </c>
      <c r="L327" s="11" t="str">
        <f>'DA - 56'!H151</f>
        <v xml:space="preserve">Aerobar Bolts: Top 20mm; Bottom 15mm </v>
      </c>
    </row>
    <row r="328" spans="1:12" x14ac:dyDescent="0.25">
      <c r="A328" s="11">
        <f>'DA - 56'!C152</f>
        <v>490</v>
      </c>
      <c r="B328" s="11">
        <f>'DA - 56'!D152</f>
        <v>460</v>
      </c>
      <c r="C328" s="11">
        <f>'DA - 56'!E152</f>
        <v>540</v>
      </c>
      <c r="D328" s="11">
        <f>'DA - 56'!G152</f>
        <v>680</v>
      </c>
      <c r="E328" s="11" t="str">
        <f>'DA - 56'!B152</f>
        <v>Frame: 56 ----- Stem: 100x60  ----- Aluminium Aerobar + 20 + 5</v>
      </c>
      <c r="F328" s="11">
        <f t="shared" si="45"/>
        <v>1</v>
      </c>
      <c r="G328" s="11" t="str">
        <f t="shared" si="41"/>
        <v/>
      </c>
      <c r="H328" s="11" t="str">
        <f t="shared" si="42"/>
        <v/>
      </c>
      <c r="I328" s="11">
        <f t="shared" si="43"/>
        <v>-20</v>
      </c>
      <c r="J328" s="11">
        <v>1</v>
      </c>
      <c r="K328" s="11">
        <f t="shared" si="44"/>
        <v>1</v>
      </c>
      <c r="L328" s="11" t="str">
        <f>'DA - 56'!H152</f>
        <v xml:space="preserve">Aerobar Bolts: Top 25mm; Bottom 15mm </v>
      </c>
    </row>
    <row r="329" spans="1:12" x14ac:dyDescent="0.25">
      <c r="A329" s="11">
        <f>'DA - 56'!C153</f>
        <v>490</v>
      </c>
      <c r="B329" s="11">
        <f>'DA - 56'!D153</f>
        <v>460</v>
      </c>
      <c r="C329" s="11">
        <f>'DA - 56'!E153</f>
        <v>540</v>
      </c>
      <c r="D329" s="11">
        <f>'DA - 56'!G153</f>
        <v>680</v>
      </c>
      <c r="E329" s="11" t="str">
        <f>'DA - 56'!B153</f>
        <v>Frame: 56 ----- Stem: 100x60  ----- Aluminium Aerobar + 20 + bridge</v>
      </c>
      <c r="F329" s="11">
        <f t="shared" si="45"/>
        <v>1</v>
      </c>
      <c r="G329" s="11" t="str">
        <f t="shared" ref="G329:G392" si="46">IF(ISNUMBER(FIND(" 30",E329)),1,"")</f>
        <v/>
      </c>
      <c r="H329" s="11" t="str">
        <f t="shared" ref="H329:H392" si="47">IF(ISNUMBER(FIND(" 40",E329)),1,"")</f>
        <v/>
      </c>
      <c r="I329" s="11">
        <f t="shared" ref="I329:I392" si="48">$F$5-A329</f>
        <v>-20</v>
      </c>
      <c r="J329" s="11">
        <v>1</v>
      </c>
      <c r="K329" s="11">
        <f t="shared" ref="K329:K392" si="49">IF(ISNUMBER(FIND(" 58",E329)),$AD$9,IF(ISNUMBER(FIND(" 56",E329)),$AD$8,IF(ISNUMBER(FIND(" 54",E329)),$AD$7,IF(ISNUMBER(FIND(" 51",E329)),$AD$6,IF(ISNUMBER(FIND(" 47",E329)),$AD$5,"")))))</f>
        <v>1</v>
      </c>
      <c r="L329" s="11" t="str">
        <f>'DA - 56'!H153</f>
        <v xml:space="preserve">Aerobar Bolts: Top 25mm; Bottom 15mm </v>
      </c>
    </row>
    <row r="330" spans="1:12" x14ac:dyDescent="0.25">
      <c r="A330" s="11">
        <f>'DA - 56'!C154</f>
        <v>490</v>
      </c>
      <c r="B330" s="11">
        <f>'DA - 56'!D154</f>
        <v>460</v>
      </c>
      <c r="C330" s="11">
        <f>'DA - 56'!E154</f>
        <v>540</v>
      </c>
      <c r="D330" s="11">
        <f>'DA - 56'!G154</f>
        <v>685</v>
      </c>
      <c r="E330" s="11" t="str">
        <f>'DA - 56'!B154</f>
        <v>Frame: 56 ----- Stem: 100x60  ----- Aluminium Aerobar + 30</v>
      </c>
      <c r="F330" s="11">
        <f t="shared" si="45"/>
        <v>1</v>
      </c>
      <c r="G330" s="11">
        <f t="shared" si="46"/>
        <v>1</v>
      </c>
      <c r="H330" s="11" t="str">
        <f t="shared" si="47"/>
        <v/>
      </c>
      <c r="I330" s="11">
        <f t="shared" si="48"/>
        <v>-20</v>
      </c>
      <c r="J330" s="11">
        <v>1</v>
      </c>
      <c r="K330" s="11">
        <f t="shared" si="49"/>
        <v>1</v>
      </c>
      <c r="L330" s="11" t="str">
        <f>'DA - 56'!H154</f>
        <v xml:space="preserve">Aerobar Bolts: Top 25mm; Bottom 15mm </v>
      </c>
    </row>
    <row r="331" spans="1:12" x14ac:dyDescent="0.25">
      <c r="A331" s="11">
        <f>'DA - 56'!C155</f>
        <v>490</v>
      </c>
      <c r="B331" s="11">
        <f>'DA - 56'!D155</f>
        <v>460</v>
      </c>
      <c r="C331" s="11">
        <f>'DA - 56'!E155</f>
        <v>540</v>
      </c>
      <c r="D331" s="11">
        <f>'DA - 56'!G155</f>
        <v>685</v>
      </c>
      <c r="E331" s="11" t="str">
        <f>'DA - 56'!B155</f>
        <v>Frame: 56 ----- Stem: 100x60  ----- Aluminium Aerobar + 20 + bridge + 5</v>
      </c>
      <c r="F331" s="11">
        <f t="shared" si="45"/>
        <v>1</v>
      </c>
      <c r="G331" s="11" t="str">
        <f t="shared" si="46"/>
        <v/>
      </c>
      <c r="H331" s="11" t="str">
        <f t="shared" si="47"/>
        <v/>
      </c>
      <c r="I331" s="11">
        <f t="shared" si="48"/>
        <v>-20</v>
      </c>
      <c r="J331" s="11">
        <v>1</v>
      </c>
      <c r="K331" s="11">
        <f t="shared" si="49"/>
        <v>1</v>
      </c>
      <c r="L331" s="11" t="str">
        <f>'DA - 56'!H155</f>
        <v xml:space="preserve">Aerobar Bolts: Top 25mm; Bottom 15mm </v>
      </c>
    </row>
    <row r="332" spans="1:12" x14ac:dyDescent="0.25">
      <c r="A332" s="11">
        <f>'DA - 56'!C156</f>
        <v>490</v>
      </c>
      <c r="B332" s="11">
        <f>'DA - 56'!D156</f>
        <v>460</v>
      </c>
      <c r="C332" s="11">
        <f>'DA - 56'!E156</f>
        <v>540</v>
      </c>
      <c r="D332" s="11">
        <f>'DA - 56'!G156</f>
        <v>690</v>
      </c>
      <c r="E332" s="11" t="str">
        <f>'DA - 56'!B156</f>
        <v>Frame: 56 ----- Stem: 100x60  ----- Aluminium Aerobar + 30 + bridge</v>
      </c>
      <c r="F332" s="11">
        <f t="shared" si="45"/>
        <v>1</v>
      </c>
      <c r="G332" s="11">
        <f t="shared" si="46"/>
        <v>1</v>
      </c>
      <c r="H332" s="11" t="str">
        <f t="shared" si="47"/>
        <v/>
      </c>
      <c r="I332" s="11">
        <f t="shared" si="48"/>
        <v>-20</v>
      </c>
      <c r="J332" s="11">
        <v>1</v>
      </c>
      <c r="K332" s="11">
        <f t="shared" si="49"/>
        <v>1</v>
      </c>
      <c r="L332" s="11" t="str">
        <f>'DA - 56'!H156</f>
        <v xml:space="preserve">Aerobar Bolts: Top 30mm; Bottom 15mm </v>
      </c>
    </row>
    <row r="333" spans="1:12" x14ac:dyDescent="0.25">
      <c r="A333" s="11">
        <f>'DA - 56'!C157</f>
        <v>490</v>
      </c>
      <c r="B333" s="11">
        <f>'DA - 56'!D157</f>
        <v>460</v>
      </c>
      <c r="C333" s="11">
        <f>'DA - 56'!E157</f>
        <v>540</v>
      </c>
      <c r="D333" s="11">
        <f>'DA - 56'!G157</f>
        <v>695</v>
      </c>
      <c r="E333" s="11" t="str">
        <f>'DA - 56'!B157</f>
        <v>Frame: 56 ----- Stem: 100x60  ----- Aluminium Aerobar + 30 + bridge + 5</v>
      </c>
      <c r="F333" s="11">
        <f t="shared" si="45"/>
        <v>1</v>
      </c>
      <c r="G333" s="11">
        <f t="shared" si="46"/>
        <v>1</v>
      </c>
      <c r="H333" s="11" t="str">
        <f t="shared" si="47"/>
        <v/>
      </c>
      <c r="I333" s="11">
        <f t="shared" si="48"/>
        <v>-20</v>
      </c>
      <c r="J333" s="11">
        <v>1</v>
      </c>
      <c r="K333" s="11">
        <f t="shared" si="49"/>
        <v>1</v>
      </c>
      <c r="L333" s="11" t="str">
        <f>'DA - 56'!H157</f>
        <v xml:space="preserve">Aerobar Bolts: Top 30mm; Bottom 15mm </v>
      </c>
    </row>
    <row r="334" spans="1:12" x14ac:dyDescent="0.25">
      <c r="A334" s="11">
        <f>'DA - 56'!C158</f>
        <v>490</v>
      </c>
      <c r="B334" s="11">
        <f>'DA - 56'!D158</f>
        <v>460</v>
      </c>
      <c r="C334" s="11">
        <f>'DA - 56'!E158</f>
        <v>540</v>
      </c>
      <c r="D334" s="11">
        <f>'DA - 56'!G158</f>
        <v>700</v>
      </c>
      <c r="E334" s="11" t="str">
        <f>'DA - 56'!B158</f>
        <v>Frame: 56 ----- Stem: 100x60  ----- Aluminium Aerobar + 40 + bridge</v>
      </c>
      <c r="F334" s="11">
        <f t="shared" si="45"/>
        <v>1</v>
      </c>
      <c r="G334" s="11" t="str">
        <f t="shared" si="46"/>
        <v/>
      </c>
      <c r="H334" s="11">
        <f t="shared" si="47"/>
        <v>1</v>
      </c>
      <c r="I334" s="11">
        <f t="shared" si="48"/>
        <v>-20</v>
      </c>
      <c r="J334" s="11">
        <v>1</v>
      </c>
      <c r="K334" s="11">
        <f t="shared" si="49"/>
        <v>1</v>
      </c>
      <c r="L334" s="11" t="str">
        <f>'DA - 56'!H158</f>
        <v xml:space="preserve">Aerobar Bolts: Top 35mm; Bottom 15mm </v>
      </c>
    </row>
    <row r="335" spans="1:12" x14ac:dyDescent="0.25">
      <c r="A335" s="11">
        <f>'DA - 56'!C159</f>
        <v>490</v>
      </c>
      <c r="B335" s="11">
        <f>'DA - 56'!D159</f>
        <v>460</v>
      </c>
      <c r="C335" s="11">
        <f>'DA - 56'!E159</f>
        <v>540</v>
      </c>
      <c r="D335" s="11">
        <f>'DA - 56'!G159</f>
        <v>705</v>
      </c>
      <c r="E335" s="11" t="str">
        <f>'DA - 56'!B159</f>
        <v>Frame: 56 ----- Stem: 100x60  ----- Aluminium Aerobar + 40 + bridge + 5</v>
      </c>
      <c r="F335" s="11">
        <f t="shared" si="45"/>
        <v>1</v>
      </c>
      <c r="G335" s="11" t="str">
        <f t="shared" si="46"/>
        <v/>
      </c>
      <c r="H335" s="11">
        <f t="shared" si="47"/>
        <v>1</v>
      </c>
      <c r="I335" s="11">
        <f t="shared" si="48"/>
        <v>-20</v>
      </c>
      <c r="J335" s="11">
        <v>1</v>
      </c>
      <c r="K335" s="11">
        <f t="shared" si="49"/>
        <v>1</v>
      </c>
      <c r="L335" s="11" t="str">
        <f>'DA - 56'!H159</f>
        <v xml:space="preserve">Aerobar Bolts: Top 35mm; Bottom 15mm </v>
      </c>
    </row>
    <row r="336" spans="1:12" x14ac:dyDescent="0.25">
      <c r="A336" s="11">
        <f>'DA - 56'!C160</f>
        <v>490</v>
      </c>
      <c r="B336" s="11">
        <f>'DA - 56'!D160</f>
        <v>460</v>
      </c>
      <c r="C336" s="11">
        <f>'DA - 56'!E160</f>
        <v>540</v>
      </c>
      <c r="D336" s="11">
        <f>'DA - 56'!G160</f>
        <v>710</v>
      </c>
      <c r="E336" s="11" t="str">
        <f>'DA - 56'!B160</f>
        <v>Frame: 56 ----- Stem: 100x60  ----- Aluminium Aerobar + 40 + bridge + 10</v>
      </c>
      <c r="F336" s="11">
        <f t="shared" si="45"/>
        <v>1</v>
      </c>
      <c r="G336" s="11" t="str">
        <f t="shared" si="46"/>
        <v/>
      </c>
      <c r="H336" s="11">
        <f t="shared" si="47"/>
        <v>1</v>
      </c>
      <c r="I336" s="11">
        <f t="shared" si="48"/>
        <v>-20</v>
      </c>
      <c r="J336" s="11">
        <v>1</v>
      </c>
      <c r="K336" s="11">
        <f t="shared" si="49"/>
        <v>1</v>
      </c>
      <c r="L336" s="11" t="str">
        <f>'DA - 56'!H160</f>
        <v xml:space="preserve">Aerobar Bolts: Top 35mm; Bottom 15mm </v>
      </c>
    </row>
    <row r="337" spans="1:12" x14ac:dyDescent="0.25">
      <c r="A337" s="11">
        <f>'DA - 56'!C161</f>
        <v>490</v>
      </c>
      <c r="B337" s="11">
        <f>'DA - 56'!D161</f>
        <v>460</v>
      </c>
      <c r="C337" s="11">
        <f>'DA - 56'!E161</f>
        <v>540</v>
      </c>
      <c r="D337" s="11">
        <f>'DA - 56'!G161</f>
        <v>715</v>
      </c>
      <c r="E337" s="11" t="str">
        <f>'DA - 56'!B161</f>
        <v>Frame: 56 ----- Stem: 100x60  ----- Aluminium Aerobar + 40 + bridge + 10 + 5</v>
      </c>
      <c r="F337" s="11">
        <f t="shared" si="45"/>
        <v>1</v>
      </c>
      <c r="G337" s="11" t="str">
        <f t="shared" si="46"/>
        <v/>
      </c>
      <c r="H337" s="11">
        <f t="shared" si="47"/>
        <v>1</v>
      </c>
      <c r="I337" s="11">
        <f t="shared" si="48"/>
        <v>-20</v>
      </c>
      <c r="J337" s="11">
        <v>1</v>
      </c>
      <c r="K337" s="11">
        <f t="shared" si="49"/>
        <v>1</v>
      </c>
      <c r="L337" s="11" t="str">
        <f>'DA - 56'!H161</f>
        <v xml:space="preserve">Aerobar Bolts: Top 35mm; Bottom 25mm </v>
      </c>
    </row>
    <row r="338" spans="1:12" x14ac:dyDescent="0.25">
      <c r="A338" s="11">
        <f>'DA - 56'!C162</f>
        <v>495</v>
      </c>
      <c r="B338" s="11">
        <f>'DA - 56'!D162</f>
        <v>465</v>
      </c>
      <c r="C338" s="11">
        <f>'DA - 56'!E162</f>
        <v>545</v>
      </c>
      <c r="D338" s="11">
        <f>'DA - 56'!G162</f>
        <v>595</v>
      </c>
      <c r="E338" s="11" t="str">
        <f>'DA - 56'!B162</f>
        <v>Frame: 56 ----- Stem: 90x0  ----- Aluminium Aerobar</v>
      </c>
      <c r="F338" s="11">
        <f t="shared" si="45"/>
        <v>1</v>
      </c>
      <c r="G338" s="11" t="str">
        <f t="shared" si="46"/>
        <v/>
      </c>
      <c r="H338" s="11" t="str">
        <f t="shared" si="47"/>
        <v/>
      </c>
      <c r="I338" s="11">
        <f t="shared" si="48"/>
        <v>-25</v>
      </c>
      <c r="J338" s="11">
        <v>1</v>
      </c>
      <c r="K338" s="11">
        <f t="shared" si="49"/>
        <v>1</v>
      </c>
      <c r="L338" s="11" t="str">
        <f>'DA - 56'!H162</f>
        <v xml:space="preserve">Aerobar Bolts: Top 20mm; Bottom N/A </v>
      </c>
    </row>
    <row r="339" spans="1:12" x14ac:dyDescent="0.25">
      <c r="A339" s="11">
        <f>'DA - 56'!C163</f>
        <v>495</v>
      </c>
      <c r="B339" s="11">
        <f>'DA - 56'!D163</f>
        <v>465</v>
      </c>
      <c r="C339" s="11">
        <f>'DA - 56'!E163</f>
        <v>545</v>
      </c>
      <c r="D339" s="11">
        <f>'DA - 56'!G163</f>
        <v>600</v>
      </c>
      <c r="E339" s="11" t="str">
        <f>'DA - 56'!B163</f>
        <v>Frame: 56 ----- Stem: 90x0  ----- Aluminium Aerobar + 5</v>
      </c>
      <c r="F339" s="11">
        <f t="shared" si="45"/>
        <v>1</v>
      </c>
      <c r="G339" s="11" t="str">
        <f t="shared" si="46"/>
        <v/>
      </c>
      <c r="H339" s="11" t="str">
        <f t="shared" si="47"/>
        <v/>
      </c>
      <c r="I339" s="11">
        <f t="shared" si="48"/>
        <v>-25</v>
      </c>
      <c r="J339" s="11">
        <v>1</v>
      </c>
      <c r="K339" s="11">
        <f t="shared" si="49"/>
        <v>1</v>
      </c>
      <c r="L339" s="11" t="str">
        <f>'DA - 56'!H163</f>
        <v xml:space="preserve">Aerobar Bolts: Top 25mm; Bottom N/A </v>
      </c>
    </row>
    <row r="340" spans="1:12" x14ac:dyDescent="0.25">
      <c r="A340" s="11">
        <f>'DA - 56'!C164</f>
        <v>495</v>
      </c>
      <c r="B340" s="11">
        <f>'DA - 56'!D164</f>
        <v>465</v>
      </c>
      <c r="C340" s="11">
        <f>'DA - 56'!E164</f>
        <v>545</v>
      </c>
      <c r="D340" s="11">
        <f>'DA - 56'!G164</f>
        <v>605</v>
      </c>
      <c r="E340" s="11" t="str">
        <f>'DA - 56'!B164</f>
        <v>Frame: 56 ----- Stem: 90x0  ----- Aluminium Aerobar + 10</v>
      </c>
      <c r="F340" s="11">
        <f t="shared" si="45"/>
        <v>1</v>
      </c>
      <c r="G340" s="11" t="str">
        <f t="shared" si="46"/>
        <v/>
      </c>
      <c r="H340" s="11" t="str">
        <f t="shared" si="47"/>
        <v/>
      </c>
      <c r="I340" s="11">
        <f t="shared" si="48"/>
        <v>-25</v>
      </c>
      <c r="J340" s="11">
        <v>1</v>
      </c>
      <c r="K340" s="11">
        <f t="shared" si="49"/>
        <v>1</v>
      </c>
      <c r="L340" s="11" t="str">
        <f>'DA - 56'!H164</f>
        <v xml:space="preserve">Aerobar Bolts: Top 30mm; Bottom N/A </v>
      </c>
    </row>
    <row r="341" spans="1:12" x14ac:dyDescent="0.25">
      <c r="A341" s="11">
        <f>'DA - 56'!C165</f>
        <v>495</v>
      </c>
      <c r="B341" s="11">
        <f>'DA - 56'!D165</f>
        <v>465</v>
      </c>
      <c r="C341" s="11">
        <f>'DA - 56'!E165</f>
        <v>545</v>
      </c>
      <c r="D341" s="11">
        <f>'DA - 56'!G165</f>
        <v>610</v>
      </c>
      <c r="E341" s="11" t="str">
        <f>'DA - 56'!B165</f>
        <v>Frame: 56 ----- Stem: 90x0  ----- Aluminium Aerobar + 5 + 10</v>
      </c>
      <c r="F341" s="11">
        <f t="shared" si="45"/>
        <v>1</v>
      </c>
      <c r="G341" s="11" t="str">
        <f t="shared" si="46"/>
        <v/>
      </c>
      <c r="H341" s="11" t="str">
        <f t="shared" si="47"/>
        <v/>
      </c>
      <c r="I341" s="11">
        <f t="shared" si="48"/>
        <v>-25</v>
      </c>
      <c r="J341" s="11">
        <v>1</v>
      </c>
      <c r="K341" s="11">
        <f t="shared" si="49"/>
        <v>1</v>
      </c>
      <c r="L341" s="11" t="str">
        <f>'DA - 56'!H165</f>
        <v xml:space="preserve">Aerobar Bolts: Top 35mm; Bottom N/A </v>
      </c>
    </row>
    <row r="342" spans="1:12" x14ac:dyDescent="0.25">
      <c r="A342" s="11">
        <f>'DA - 56'!C166</f>
        <v>495</v>
      </c>
      <c r="B342" s="11">
        <f>'DA - 56'!D166</f>
        <v>465</v>
      </c>
      <c r="C342" s="11">
        <f>'DA - 56'!E166</f>
        <v>545</v>
      </c>
      <c r="D342" s="11">
        <f>'DA - 56'!G166</f>
        <v>615</v>
      </c>
      <c r="E342" s="11" t="str">
        <f>'DA - 56'!B166</f>
        <v>Frame: 56 ----- Stem: 90x0  ----- Aluminium Aerobar + 20</v>
      </c>
      <c r="F342" s="11">
        <f t="shared" si="45"/>
        <v>1</v>
      </c>
      <c r="G342" s="11" t="str">
        <f t="shared" si="46"/>
        <v/>
      </c>
      <c r="H342" s="11" t="str">
        <f t="shared" si="47"/>
        <v/>
      </c>
      <c r="I342" s="11">
        <f t="shared" si="48"/>
        <v>-25</v>
      </c>
      <c r="J342" s="11">
        <v>1</v>
      </c>
      <c r="K342" s="11">
        <f t="shared" si="49"/>
        <v>1</v>
      </c>
      <c r="L342" s="11" t="str">
        <f>'DA - 56'!H166</f>
        <v xml:space="preserve">Aerobar Bolts: Top 20mm; Bottom 15mm </v>
      </c>
    </row>
    <row r="343" spans="1:12" x14ac:dyDescent="0.25">
      <c r="A343" s="11">
        <f>'DA - 56'!C167</f>
        <v>495</v>
      </c>
      <c r="B343" s="11">
        <f>'DA - 56'!D167</f>
        <v>465</v>
      </c>
      <c r="C343" s="11">
        <f>'DA - 56'!E167</f>
        <v>545</v>
      </c>
      <c r="D343" s="11">
        <f>'DA - 56'!G167</f>
        <v>620</v>
      </c>
      <c r="E343" s="11" t="str">
        <f>'DA - 56'!B167</f>
        <v>Frame: 56 ----- Stem: 90x0  ----- Aluminium Aerobar + 20 + 5</v>
      </c>
      <c r="F343" s="11">
        <f t="shared" si="45"/>
        <v>1</v>
      </c>
      <c r="G343" s="11" t="str">
        <f t="shared" si="46"/>
        <v/>
      </c>
      <c r="H343" s="11" t="str">
        <f t="shared" si="47"/>
        <v/>
      </c>
      <c r="I343" s="11">
        <f t="shared" si="48"/>
        <v>-25</v>
      </c>
      <c r="J343" s="11">
        <v>1</v>
      </c>
      <c r="K343" s="11">
        <f t="shared" si="49"/>
        <v>1</v>
      </c>
      <c r="L343" s="11" t="str">
        <f>'DA - 56'!H167</f>
        <v xml:space="preserve">Aerobar Bolts: Top 25mm; Bottom 15mm </v>
      </c>
    </row>
    <row r="344" spans="1:12" x14ac:dyDescent="0.25">
      <c r="A344" s="11">
        <f>'DA - 56'!C168</f>
        <v>495</v>
      </c>
      <c r="B344" s="11">
        <f>'DA - 56'!D168</f>
        <v>465</v>
      </c>
      <c r="C344" s="11">
        <f>'DA - 56'!E168</f>
        <v>545</v>
      </c>
      <c r="D344" s="11">
        <f>'DA - 56'!G168</f>
        <v>620</v>
      </c>
      <c r="E344" s="11" t="str">
        <f>'DA - 56'!B168</f>
        <v>Frame: 56 ----- Stem: 90x0  ----- Aluminium Aerobar + 20 + bridge</v>
      </c>
      <c r="F344" s="11">
        <f t="shared" si="45"/>
        <v>1</v>
      </c>
      <c r="G344" s="11" t="str">
        <f t="shared" si="46"/>
        <v/>
      </c>
      <c r="H344" s="11" t="str">
        <f t="shared" si="47"/>
        <v/>
      </c>
      <c r="I344" s="11">
        <f t="shared" si="48"/>
        <v>-25</v>
      </c>
      <c r="J344" s="11">
        <v>1</v>
      </c>
      <c r="K344" s="11">
        <f t="shared" si="49"/>
        <v>1</v>
      </c>
      <c r="L344" s="11" t="str">
        <f>'DA - 56'!H168</f>
        <v xml:space="preserve">Aerobar Bolts: Top 25mm; Bottom 15mm </v>
      </c>
    </row>
    <row r="345" spans="1:12" x14ac:dyDescent="0.25">
      <c r="A345" s="11">
        <f>'DA - 56'!C169</f>
        <v>495</v>
      </c>
      <c r="B345" s="11">
        <f>'DA - 56'!D169</f>
        <v>465</v>
      </c>
      <c r="C345" s="11">
        <f>'DA - 56'!E169</f>
        <v>545</v>
      </c>
      <c r="D345" s="11">
        <f>'DA - 56'!G169</f>
        <v>625</v>
      </c>
      <c r="E345" s="11" t="str">
        <f>'DA - 56'!B169</f>
        <v>Frame: 56 ----- Stem: 90x0  ----- Aluminium Aerobar + 30</v>
      </c>
      <c r="F345" s="11">
        <f t="shared" si="45"/>
        <v>1</v>
      </c>
      <c r="G345" s="11">
        <f t="shared" si="46"/>
        <v>1</v>
      </c>
      <c r="H345" s="11" t="str">
        <f t="shared" si="47"/>
        <v/>
      </c>
      <c r="I345" s="11">
        <f t="shared" si="48"/>
        <v>-25</v>
      </c>
      <c r="J345" s="11">
        <v>1</v>
      </c>
      <c r="K345" s="11">
        <f t="shared" si="49"/>
        <v>1</v>
      </c>
      <c r="L345" s="11" t="str">
        <f>'DA - 56'!H169</f>
        <v xml:space="preserve">Aerobar Bolts: Top 25mm; Bottom 15mm </v>
      </c>
    </row>
    <row r="346" spans="1:12" x14ac:dyDescent="0.25">
      <c r="A346" s="11">
        <f>'DA - 56'!C170</f>
        <v>495</v>
      </c>
      <c r="B346" s="11">
        <f>'DA - 56'!D170</f>
        <v>465</v>
      </c>
      <c r="C346" s="11">
        <f>'DA - 56'!E170</f>
        <v>545</v>
      </c>
      <c r="D346" s="11">
        <f>'DA - 56'!G170</f>
        <v>625</v>
      </c>
      <c r="E346" s="11" t="str">
        <f>'DA - 56'!B170</f>
        <v>Frame: 56 ----- Stem: 90x0  ----- Aluminium Aerobar + 20 + bridge + 5</v>
      </c>
      <c r="F346" s="11">
        <f t="shared" si="45"/>
        <v>1</v>
      </c>
      <c r="G346" s="11" t="str">
        <f t="shared" si="46"/>
        <v/>
      </c>
      <c r="H346" s="11" t="str">
        <f t="shared" si="47"/>
        <v/>
      </c>
      <c r="I346" s="11">
        <f t="shared" si="48"/>
        <v>-25</v>
      </c>
      <c r="J346" s="11">
        <v>1</v>
      </c>
      <c r="K346" s="11">
        <f t="shared" si="49"/>
        <v>1</v>
      </c>
      <c r="L346" s="11" t="str">
        <f>'DA - 56'!H170</f>
        <v xml:space="preserve">Aerobar Bolts: Top 25mm; Bottom 15mm </v>
      </c>
    </row>
    <row r="347" spans="1:12" x14ac:dyDescent="0.25">
      <c r="A347" s="11">
        <f>'DA - 56'!C171</f>
        <v>495</v>
      </c>
      <c r="B347" s="11">
        <f>'DA - 56'!D171</f>
        <v>465</v>
      </c>
      <c r="C347" s="11">
        <f>'DA - 56'!E171</f>
        <v>545</v>
      </c>
      <c r="D347" s="11">
        <f>'DA - 56'!G171</f>
        <v>630</v>
      </c>
      <c r="E347" s="11" t="str">
        <f>'DA - 56'!B171</f>
        <v>Frame: 56 ----- Stem: 90x0  ----- Aluminium Aerobar + 30 + bridge</v>
      </c>
      <c r="F347" s="11">
        <f t="shared" si="45"/>
        <v>1</v>
      </c>
      <c r="G347" s="11">
        <f t="shared" si="46"/>
        <v>1</v>
      </c>
      <c r="H347" s="11" t="str">
        <f t="shared" si="47"/>
        <v/>
      </c>
      <c r="I347" s="11">
        <f t="shared" si="48"/>
        <v>-25</v>
      </c>
      <c r="J347" s="11">
        <v>1</v>
      </c>
      <c r="K347" s="11">
        <f t="shared" si="49"/>
        <v>1</v>
      </c>
      <c r="L347" s="11" t="str">
        <f>'DA - 56'!H171</f>
        <v xml:space="preserve">Aerobar Bolts: Top 30mm; Bottom 15mm </v>
      </c>
    </row>
    <row r="348" spans="1:12" x14ac:dyDescent="0.25">
      <c r="A348" s="11">
        <f>'DA - 56'!C172</f>
        <v>495</v>
      </c>
      <c r="B348" s="11">
        <f>'DA - 56'!D172</f>
        <v>465</v>
      </c>
      <c r="C348" s="11">
        <f>'DA - 56'!E172</f>
        <v>545</v>
      </c>
      <c r="D348" s="11">
        <f>'DA - 56'!G172</f>
        <v>635</v>
      </c>
      <c r="E348" s="11" t="str">
        <f>'DA - 56'!B172</f>
        <v>Frame: 56 ----- Stem: 90x0  ----- Aluminium Aerobar + 30 + bridge + 5</v>
      </c>
      <c r="F348" s="11">
        <f t="shared" si="45"/>
        <v>1</v>
      </c>
      <c r="G348" s="11">
        <f t="shared" si="46"/>
        <v>1</v>
      </c>
      <c r="H348" s="11" t="str">
        <f t="shared" si="47"/>
        <v/>
      </c>
      <c r="I348" s="11">
        <f t="shared" si="48"/>
        <v>-25</v>
      </c>
      <c r="J348" s="11">
        <v>1</v>
      </c>
      <c r="K348" s="11">
        <f t="shared" si="49"/>
        <v>1</v>
      </c>
      <c r="L348" s="11" t="str">
        <f>'DA - 56'!H172</f>
        <v xml:space="preserve">Aerobar Bolts: Top 30mm; Bottom 15mm </v>
      </c>
    </row>
    <row r="349" spans="1:12" x14ac:dyDescent="0.25">
      <c r="A349" s="11">
        <f>'DA - 56'!C173</f>
        <v>495</v>
      </c>
      <c r="B349" s="11">
        <f>'DA - 56'!D173</f>
        <v>465</v>
      </c>
      <c r="C349" s="11">
        <f>'DA - 56'!E173</f>
        <v>545</v>
      </c>
      <c r="D349" s="11">
        <f>'DA - 56'!G173</f>
        <v>640</v>
      </c>
      <c r="E349" s="11" t="str">
        <f>'DA - 56'!B173</f>
        <v>Frame: 56 ----- Stem: 90x0  ----- Aluminium Aerobar + 40 + bridge</v>
      </c>
      <c r="F349" s="11">
        <f t="shared" si="45"/>
        <v>1</v>
      </c>
      <c r="G349" s="11" t="str">
        <f t="shared" si="46"/>
        <v/>
      </c>
      <c r="H349" s="11">
        <f t="shared" si="47"/>
        <v>1</v>
      </c>
      <c r="I349" s="11">
        <f t="shared" si="48"/>
        <v>-25</v>
      </c>
      <c r="J349" s="11">
        <v>1</v>
      </c>
      <c r="K349" s="11">
        <f t="shared" si="49"/>
        <v>1</v>
      </c>
      <c r="L349" s="11" t="str">
        <f>'DA - 56'!H173</f>
        <v xml:space="preserve">Aerobar Bolts: Top 35mm; Bottom 15mm </v>
      </c>
    </row>
    <row r="350" spans="1:12" x14ac:dyDescent="0.25">
      <c r="A350" s="11">
        <f>'DA - 56'!C174</f>
        <v>495</v>
      </c>
      <c r="B350" s="11">
        <f>'DA - 56'!D174</f>
        <v>465</v>
      </c>
      <c r="C350" s="11">
        <f>'DA - 56'!E174</f>
        <v>545</v>
      </c>
      <c r="D350" s="11">
        <f>'DA - 56'!G174</f>
        <v>645</v>
      </c>
      <c r="E350" s="11" t="str">
        <f>'DA - 56'!B174</f>
        <v>Frame: 56 ----- Stem: 90x0  ----- Aluminium Aerobar + 40 + bridge + 5</v>
      </c>
      <c r="F350" s="11">
        <f t="shared" si="45"/>
        <v>1</v>
      </c>
      <c r="G350" s="11" t="str">
        <f t="shared" si="46"/>
        <v/>
      </c>
      <c r="H350" s="11">
        <f t="shared" si="47"/>
        <v>1</v>
      </c>
      <c r="I350" s="11">
        <f t="shared" si="48"/>
        <v>-25</v>
      </c>
      <c r="J350" s="11">
        <v>1</v>
      </c>
      <c r="K350" s="11">
        <f t="shared" si="49"/>
        <v>1</v>
      </c>
      <c r="L350" s="11" t="str">
        <f>'DA - 56'!H174</f>
        <v xml:space="preserve">Aerobar Bolts: Top 35mm; Bottom 15mm </v>
      </c>
    </row>
    <row r="351" spans="1:12" x14ac:dyDescent="0.25">
      <c r="A351" s="11">
        <f>'DA - 56'!C175</f>
        <v>495</v>
      </c>
      <c r="B351" s="11">
        <f>'DA - 56'!D175</f>
        <v>465</v>
      </c>
      <c r="C351" s="11">
        <f>'DA - 56'!E175</f>
        <v>545</v>
      </c>
      <c r="D351" s="11">
        <f>'DA - 56'!G175</f>
        <v>650</v>
      </c>
      <c r="E351" s="11" t="str">
        <f>'DA - 56'!B175</f>
        <v>Frame: 56 ----- Stem: 90x0  ----- Aluminium Aerobar + 40 + bridge + 10</v>
      </c>
      <c r="F351" s="11">
        <f t="shared" si="45"/>
        <v>1</v>
      </c>
      <c r="G351" s="11" t="str">
        <f t="shared" si="46"/>
        <v/>
      </c>
      <c r="H351" s="11">
        <f t="shared" si="47"/>
        <v>1</v>
      </c>
      <c r="I351" s="11">
        <f t="shared" si="48"/>
        <v>-25</v>
      </c>
      <c r="J351" s="11">
        <v>1</v>
      </c>
      <c r="K351" s="11">
        <f t="shared" si="49"/>
        <v>1</v>
      </c>
      <c r="L351" s="11" t="str">
        <f>'DA - 56'!H175</f>
        <v xml:space="preserve">Aerobar Bolts: Top 35mm; Bottom 15mm </v>
      </c>
    </row>
    <row r="352" spans="1:12" x14ac:dyDescent="0.25">
      <c r="A352" s="11">
        <f>'DA - 56'!C176</f>
        <v>495</v>
      </c>
      <c r="B352" s="11">
        <f>'DA - 56'!D176</f>
        <v>465</v>
      </c>
      <c r="C352" s="11">
        <f>'DA - 56'!E176</f>
        <v>545</v>
      </c>
      <c r="D352" s="11">
        <f>'DA - 56'!G176</f>
        <v>655</v>
      </c>
      <c r="E352" s="11" t="str">
        <f>'DA - 56'!B176</f>
        <v>Frame: 56 ----- Stem: 90x0  ----- Aluminium Aerobar + 40 + bridge + 10 + 5</v>
      </c>
      <c r="F352" s="11">
        <f t="shared" si="45"/>
        <v>1</v>
      </c>
      <c r="G352" s="11" t="str">
        <f t="shared" si="46"/>
        <v/>
      </c>
      <c r="H352" s="11">
        <f t="shared" si="47"/>
        <v>1</v>
      </c>
      <c r="I352" s="11">
        <f t="shared" si="48"/>
        <v>-25</v>
      </c>
      <c r="J352" s="11">
        <v>1</v>
      </c>
      <c r="K352" s="11">
        <f t="shared" si="49"/>
        <v>1</v>
      </c>
      <c r="L352" s="11" t="str">
        <f>'DA - 56'!H176</f>
        <v xml:space="preserve">Aerobar Bolts: Top 35mm; Bottom 25mm </v>
      </c>
    </row>
    <row r="353" spans="1:12" x14ac:dyDescent="0.25">
      <c r="A353" s="11">
        <f>'DA - 56'!C177</f>
        <v>515</v>
      </c>
      <c r="B353" s="11">
        <f>'DA - 56'!D177</f>
        <v>485</v>
      </c>
      <c r="C353" s="11">
        <f>'DA - 56'!E177</f>
        <v>565</v>
      </c>
      <c r="D353" s="11">
        <f>'DA - 56'!G177</f>
        <v>595</v>
      </c>
      <c r="E353" s="11" t="str">
        <f>'DA - 56'!B177</f>
        <v>Frame: 56 ----- Stem: 110x0  ----- Aluminium Aerobar</v>
      </c>
      <c r="F353" s="11" t="str">
        <f t="shared" si="45"/>
        <v/>
      </c>
      <c r="G353" s="11" t="str">
        <f t="shared" si="46"/>
        <v/>
      </c>
      <c r="H353" s="11" t="str">
        <f t="shared" si="47"/>
        <v/>
      </c>
      <c r="I353" s="11">
        <f t="shared" si="48"/>
        <v>-45</v>
      </c>
      <c r="J353" s="11">
        <v>1</v>
      </c>
      <c r="K353" s="11">
        <f t="shared" si="49"/>
        <v>1</v>
      </c>
      <c r="L353" s="11" t="str">
        <f>'DA - 56'!H177</f>
        <v xml:space="preserve">Aerobar Bolts: Top 20mm; Bottom N/A </v>
      </c>
    </row>
    <row r="354" spans="1:12" x14ac:dyDescent="0.25">
      <c r="A354" s="11">
        <f>'DA - 56'!C178</f>
        <v>515</v>
      </c>
      <c r="B354" s="11">
        <f>'DA - 56'!D178</f>
        <v>485</v>
      </c>
      <c r="C354" s="11">
        <f>'DA - 56'!E178</f>
        <v>565</v>
      </c>
      <c r="D354" s="11">
        <f>'DA - 56'!G178</f>
        <v>600</v>
      </c>
      <c r="E354" s="11" t="str">
        <f>'DA - 56'!B178</f>
        <v>Frame: 56 ----- Stem: 110x0  ----- Aluminium Aerobar + 5</v>
      </c>
      <c r="F354" s="11" t="str">
        <f t="shared" si="45"/>
        <v/>
      </c>
      <c r="G354" s="11" t="str">
        <f t="shared" si="46"/>
        <v/>
      </c>
      <c r="H354" s="11" t="str">
        <f t="shared" si="47"/>
        <v/>
      </c>
      <c r="I354" s="11">
        <f t="shared" si="48"/>
        <v>-45</v>
      </c>
      <c r="J354" s="11">
        <v>1</v>
      </c>
      <c r="K354" s="11">
        <f t="shared" si="49"/>
        <v>1</v>
      </c>
      <c r="L354" s="11" t="str">
        <f>'DA - 56'!H178</f>
        <v xml:space="preserve">Aerobar Bolts: Top 25mm; Bottom N/A </v>
      </c>
    </row>
    <row r="355" spans="1:12" x14ac:dyDescent="0.25">
      <c r="A355" s="11">
        <f>'DA - 56'!C179</f>
        <v>515</v>
      </c>
      <c r="B355" s="11">
        <f>'DA - 56'!D179</f>
        <v>485</v>
      </c>
      <c r="C355" s="11">
        <f>'DA - 56'!E179</f>
        <v>565</v>
      </c>
      <c r="D355" s="11">
        <f>'DA - 56'!G179</f>
        <v>605</v>
      </c>
      <c r="E355" s="11" t="str">
        <f>'DA - 56'!B179</f>
        <v>Frame: 56 ----- Stem: 110x0  ----- Aluminium Aerobar + 10</v>
      </c>
      <c r="F355" s="11" t="str">
        <f t="shared" si="45"/>
        <v/>
      </c>
      <c r="G355" s="11" t="str">
        <f t="shared" si="46"/>
        <v/>
      </c>
      <c r="H355" s="11" t="str">
        <f t="shared" si="47"/>
        <v/>
      </c>
      <c r="I355" s="11">
        <f t="shared" si="48"/>
        <v>-45</v>
      </c>
      <c r="J355" s="11">
        <v>1</v>
      </c>
      <c r="K355" s="11">
        <f t="shared" si="49"/>
        <v>1</v>
      </c>
      <c r="L355" s="11" t="str">
        <f>'DA - 56'!H179</f>
        <v xml:space="preserve">Aerobar Bolts: Top 30mm; Bottom N/A </v>
      </c>
    </row>
    <row r="356" spans="1:12" x14ac:dyDescent="0.25">
      <c r="A356" s="11">
        <f>'DA - 56'!C180</f>
        <v>515</v>
      </c>
      <c r="B356" s="11">
        <f>'DA - 56'!D180</f>
        <v>485</v>
      </c>
      <c r="C356" s="11">
        <f>'DA - 56'!E180</f>
        <v>565</v>
      </c>
      <c r="D356" s="11">
        <f>'DA - 56'!G180</f>
        <v>610</v>
      </c>
      <c r="E356" s="11" t="str">
        <f>'DA - 56'!B180</f>
        <v>Frame: 56 ----- Stem: 110x0  ----- Aluminium Aerobar + 5 + 10</v>
      </c>
      <c r="F356" s="11" t="str">
        <f t="shared" si="45"/>
        <v/>
      </c>
      <c r="G356" s="11" t="str">
        <f t="shared" si="46"/>
        <v/>
      </c>
      <c r="H356" s="11" t="str">
        <f t="shared" si="47"/>
        <v/>
      </c>
      <c r="I356" s="11">
        <f t="shared" si="48"/>
        <v>-45</v>
      </c>
      <c r="J356" s="11">
        <v>1</v>
      </c>
      <c r="K356" s="11">
        <f t="shared" si="49"/>
        <v>1</v>
      </c>
      <c r="L356" s="11" t="str">
        <f>'DA - 56'!H180</f>
        <v xml:space="preserve">Aerobar Bolts: Top 35mm; Bottom N/A </v>
      </c>
    </row>
    <row r="357" spans="1:12" x14ac:dyDescent="0.25">
      <c r="A357" s="11">
        <f>'DA - 56'!C181</f>
        <v>515</v>
      </c>
      <c r="B357" s="11">
        <f>'DA - 56'!D181</f>
        <v>485</v>
      </c>
      <c r="C357" s="11">
        <f>'DA - 56'!E181</f>
        <v>565</v>
      </c>
      <c r="D357" s="11">
        <f>'DA - 56'!G181</f>
        <v>615</v>
      </c>
      <c r="E357" s="11" t="str">
        <f>'DA - 56'!B181</f>
        <v>Frame: 56 ----- Stem: 110x0  ----- Aluminium Aerobar + 20</v>
      </c>
      <c r="F357" s="11" t="str">
        <f t="shared" si="45"/>
        <v/>
      </c>
      <c r="G357" s="11" t="str">
        <f t="shared" si="46"/>
        <v/>
      </c>
      <c r="H357" s="11" t="str">
        <f t="shared" si="47"/>
        <v/>
      </c>
      <c r="I357" s="11">
        <f t="shared" si="48"/>
        <v>-45</v>
      </c>
      <c r="J357" s="11">
        <v>1</v>
      </c>
      <c r="K357" s="11">
        <f t="shared" si="49"/>
        <v>1</v>
      </c>
      <c r="L357" s="11" t="str">
        <f>'DA - 56'!H181</f>
        <v xml:space="preserve">Aerobar Bolts: Top 20mm; Bottom 15mm </v>
      </c>
    </row>
    <row r="358" spans="1:12" x14ac:dyDescent="0.25">
      <c r="A358" s="11">
        <f>'DA - 56'!C182</f>
        <v>515</v>
      </c>
      <c r="B358" s="11">
        <f>'DA - 56'!D182</f>
        <v>485</v>
      </c>
      <c r="C358" s="11">
        <f>'DA - 56'!E182</f>
        <v>565</v>
      </c>
      <c r="D358" s="11">
        <f>'DA - 56'!G182</f>
        <v>620</v>
      </c>
      <c r="E358" s="11" t="str">
        <f>'DA - 56'!B182</f>
        <v>Frame: 56 ----- Stem: 110x0  ----- Aluminium Aerobar + 20 + 5</v>
      </c>
      <c r="F358" s="11" t="str">
        <f t="shared" si="45"/>
        <v/>
      </c>
      <c r="G358" s="11" t="str">
        <f t="shared" si="46"/>
        <v/>
      </c>
      <c r="H358" s="11" t="str">
        <f t="shared" si="47"/>
        <v/>
      </c>
      <c r="I358" s="11">
        <f t="shared" si="48"/>
        <v>-45</v>
      </c>
      <c r="J358" s="11">
        <v>1</v>
      </c>
      <c r="K358" s="11">
        <f t="shared" si="49"/>
        <v>1</v>
      </c>
      <c r="L358" s="11" t="str">
        <f>'DA - 56'!H182</f>
        <v xml:space="preserve">Aerobar Bolts: Top 25mm; Bottom 15mm </v>
      </c>
    </row>
    <row r="359" spans="1:12" x14ac:dyDescent="0.25">
      <c r="A359" s="11">
        <f>'DA - 56'!C183</f>
        <v>515</v>
      </c>
      <c r="B359" s="11">
        <f>'DA - 56'!D183</f>
        <v>485</v>
      </c>
      <c r="C359" s="11">
        <f>'DA - 56'!E183</f>
        <v>565</v>
      </c>
      <c r="D359" s="11">
        <f>'DA - 56'!G183</f>
        <v>620</v>
      </c>
      <c r="E359" s="11" t="str">
        <f>'DA - 56'!B183</f>
        <v>Frame: 56 ----- Stem: 110x0  ----- Aluminium Aerobar + 20 + bridge</v>
      </c>
      <c r="F359" s="11" t="str">
        <f t="shared" si="45"/>
        <v/>
      </c>
      <c r="G359" s="11" t="str">
        <f t="shared" si="46"/>
        <v/>
      </c>
      <c r="H359" s="11" t="str">
        <f t="shared" si="47"/>
        <v/>
      </c>
      <c r="I359" s="11">
        <f t="shared" si="48"/>
        <v>-45</v>
      </c>
      <c r="J359" s="11">
        <v>1</v>
      </c>
      <c r="K359" s="11">
        <f t="shared" si="49"/>
        <v>1</v>
      </c>
      <c r="L359" s="11" t="str">
        <f>'DA - 56'!H183</f>
        <v xml:space="preserve">Aerobar Bolts: Top 25mm; Bottom 15mm </v>
      </c>
    </row>
    <row r="360" spans="1:12" x14ac:dyDescent="0.25">
      <c r="A360" s="11">
        <f>'DA - 56'!C184</f>
        <v>515</v>
      </c>
      <c r="B360" s="11">
        <f>'DA - 56'!D184</f>
        <v>485</v>
      </c>
      <c r="C360" s="11">
        <f>'DA - 56'!E184</f>
        <v>565</v>
      </c>
      <c r="D360" s="11">
        <f>'DA - 56'!G184</f>
        <v>625</v>
      </c>
      <c r="E360" s="11" t="str">
        <f>'DA - 56'!B184</f>
        <v>Frame: 56 ----- Stem: 110x0  ----- Aluminium Aerobar + 30</v>
      </c>
      <c r="F360" s="11" t="str">
        <f t="shared" si="45"/>
        <v/>
      </c>
      <c r="G360" s="11">
        <f t="shared" si="46"/>
        <v>1</v>
      </c>
      <c r="H360" s="11" t="str">
        <f t="shared" si="47"/>
        <v/>
      </c>
      <c r="I360" s="11">
        <f t="shared" si="48"/>
        <v>-45</v>
      </c>
      <c r="J360" s="11">
        <v>1</v>
      </c>
      <c r="K360" s="11">
        <f t="shared" si="49"/>
        <v>1</v>
      </c>
      <c r="L360" s="11" t="str">
        <f>'DA - 56'!H184</f>
        <v xml:space="preserve">Aerobar Bolts: Top 25mm; Bottom 15mm </v>
      </c>
    </row>
    <row r="361" spans="1:12" x14ac:dyDescent="0.25">
      <c r="A361" s="11">
        <f>'DA - 56'!C185</f>
        <v>515</v>
      </c>
      <c r="B361" s="11">
        <f>'DA - 56'!D185</f>
        <v>485</v>
      </c>
      <c r="C361" s="11">
        <f>'DA - 56'!E185</f>
        <v>565</v>
      </c>
      <c r="D361" s="11">
        <f>'DA - 56'!G185</f>
        <v>625</v>
      </c>
      <c r="E361" s="11" t="str">
        <f>'DA - 56'!B185</f>
        <v>Frame: 56 ----- Stem: 110x0  ----- Aluminium Aerobar + 20 + bridge + 5</v>
      </c>
      <c r="F361" s="11" t="str">
        <f t="shared" si="45"/>
        <v/>
      </c>
      <c r="G361" s="11" t="str">
        <f t="shared" si="46"/>
        <v/>
      </c>
      <c r="H361" s="11" t="str">
        <f t="shared" si="47"/>
        <v/>
      </c>
      <c r="I361" s="11">
        <f t="shared" si="48"/>
        <v>-45</v>
      </c>
      <c r="J361" s="11">
        <v>1</v>
      </c>
      <c r="K361" s="11">
        <f t="shared" si="49"/>
        <v>1</v>
      </c>
      <c r="L361" s="11" t="str">
        <f>'DA - 56'!H185</f>
        <v xml:space="preserve">Aerobar Bolts: Top 25mm; Bottom 15mm </v>
      </c>
    </row>
    <row r="362" spans="1:12" x14ac:dyDescent="0.25">
      <c r="A362" s="11">
        <f>'DA - 56'!C186</f>
        <v>515</v>
      </c>
      <c r="B362" s="11">
        <f>'DA - 56'!D186</f>
        <v>485</v>
      </c>
      <c r="C362" s="11">
        <f>'DA - 56'!E186</f>
        <v>565</v>
      </c>
      <c r="D362" s="11">
        <f>'DA - 56'!G186</f>
        <v>630</v>
      </c>
      <c r="E362" s="11" t="str">
        <f>'DA - 56'!B186</f>
        <v>Frame: 56 ----- Stem: 110x0  ----- Aluminium Aerobar + 30 + bridge</v>
      </c>
      <c r="F362" s="11" t="str">
        <f t="shared" si="45"/>
        <v/>
      </c>
      <c r="G362" s="11">
        <f t="shared" si="46"/>
        <v>1</v>
      </c>
      <c r="H362" s="11" t="str">
        <f t="shared" si="47"/>
        <v/>
      </c>
      <c r="I362" s="11">
        <f t="shared" si="48"/>
        <v>-45</v>
      </c>
      <c r="J362" s="11">
        <v>1</v>
      </c>
      <c r="K362" s="11">
        <f t="shared" si="49"/>
        <v>1</v>
      </c>
      <c r="L362" s="11" t="str">
        <f>'DA - 56'!H186</f>
        <v xml:space="preserve">Aerobar Bolts: Top 30mm; Bottom 15mm </v>
      </c>
    </row>
    <row r="363" spans="1:12" x14ac:dyDescent="0.25">
      <c r="A363" s="11">
        <f>'DA - 56'!C187</f>
        <v>515</v>
      </c>
      <c r="B363" s="11">
        <f>'DA - 56'!D187</f>
        <v>485</v>
      </c>
      <c r="C363" s="11">
        <f>'DA - 56'!E187</f>
        <v>565</v>
      </c>
      <c r="D363" s="11">
        <f>'DA - 56'!G187</f>
        <v>635</v>
      </c>
      <c r="E363" s="11" t="str">
        <f>'DA - 56'!B187</f>
        <v>Frame: 56 ----- Stem: 110x0  ----- Aluminium Aerobar + 30 + bridge + 5</v>
      </c>
      <c r="F363" s="11" t="str">
        <f t="shared" si="45"/>
        <v/>
      </c>
      <c r="G363" s="11">
        <f t="shared" si="46"/>
        <v>1</v>
      </c>
      <c r="H363" s="11" t="str">
        <f t="shared" si="47"/>
        <v/>
      </c>
      <c r="I363" s="11">
        <f t="shared" si="48"/>
        <v>-45</v>
      </c>
      <c r="J363" s="11">
        <v>1</v>
      </c>
      <c r="K363" s="11">
        <f t="shared" si="49"/>
        <v>1</v>
      </c>
      <c r="L363" s="11" t="str">
        <f>'DA - 56'!H187</f>
        <v xml:space="preserve">Aerobar Bolts: Top 30mm; Bottom 15mm </v>
      </c>
    </row>
    <row r="364" spans="1:12" x14ac:dyDescent="0.25">
      <c r="A364" s="11">
        <f>'DA - 56'!C188</f>
        <v>515</v>
      </c>
      <c r="B364" s="11">
        <f>'DA - 56'!D188</f>
        <v>485</v>
      </c>
      <c r="C364" s="11">
        <f>'DA - 56'!E188</f>
        <v>565</v>
      </c>
      <c r="D364" s="11">
        <f>'DA - 56'!G188</f>
        <v>640</v>
      </c>
      <c r="E364" s="11" t="str">
        <f>'DA - 56'!B188</f>
        <v>Frame: 56 ----- Stem: 110x0  ----- Aluminium Aerobar + 40 + bridge</v>
      </c>
      <c r="F364" s="11" t="str">
        <f t="shared" si="45"/>
        <v/>
      </c>
      <c r="G364" s="11" t="str">
        <f t="shared" si="46"/>
        <v/>
      </c>
      <c r="H364" s="11">
        <f t="shared" si="47"/>
        <v>1</v>
      </c>
      <c r="I364" s="11">
        <f t="shared" si="48"/>
        <v>-45</v>
      </c>
      <c r="J364" s="11">
        <v>1</v>
      </c>
      <c r="K364" s="11">
        <f t="shared" si="49"/>
        <v>1</v>
      </c>
      <c r="L364" s="11" t="str">
        <f>'DA - 56'!H188</f>
        <v xml:space="preserve">Aerobar Bolts: Top 35mm; Bottom 15mm </v>
      </c>
    </row>
    <row r="365" spans="1:12" x14ac:dyDescent="0.25">
      <c r="A365" s="11">
        <f>'DA - 56'!C189</f>
        <v>515</v>
      </c>
      <c r="B365" s="11">
        <f>'DA - 56'!D189</f>
        <v>485</v>
      </c>
      <c r="C365" s="11">
        <f>'DA - 56'!E189</f>
        <v>565</v>
      </c>
      <c r="D365" s="11">
        <f>'DA - 56'!G189</f>
        <v>645</v>
      </c>
      <c r="E365" s="11" t="str">
        <f>'DA - 56'!B189</f>
        <v>Frame: 56 ----- Stem: 110x0  ----- Aluminium Aerobar + 40 + bridge + 5</v>
      </c>
      <c r="F365" s="11" t="str">
        <f t="shared" si="45"/>
        <v/>
      </c>
      <c r="G365" s="11" t="str">
        <f t="shared" si="46"/>
        <v/>
      </c>
      <c r="H365" s="11">
        <f t="shared" si="47"/>
        <v>1</v>
      </c>
      <c r="I365" s="11">
        <f t="shared" si="48"/>
        <v>-45</v>
      </c>
      <c r="J365" s="11">
        <v>1</v>
      </c>
      <c r="K365" s="11">
        <f t="shared" si="49"/>
        <v>1</v>
      </c>
      <c r="L365" s="11" t="str">
        <f>'DA - 56'!H189</f>
        <v xml:space="preserve">Aerobar Bolts: Top 35mm; Bottom 15mm </v>
      </c>
    </row>
    <row r="366" spans="1:12" x14ac:dyDescent="0.25">
      <c r="A366" s="11">
        <f>'DA - 56'!C190</f>
        <v>515</v>
      </c>
      <c r="B366" s="11">
        <f>'DA - 56'!D190</f>
        <v>485</v>
      </c>
      <c r="C366" s="11">
        <f>'DA - 56'!E190</f>
        <v>565</v>
      </c>
      <c r="D366" s="11">
        <f>'DA - 56'!G190</f>
        <v>650</v>
      </c>
      <c r="E366" s="11" t="str">
        <f>'DA - 56'!B190</f>
        <v>Frame: 56 ----- Stem: 110x0  ----- Aluminium Aerobar + 40 + bridge + 10</v>
      </c>
      <c r="F366" s="11" t="str">
        <f t="shared" si="45"/>
        <v/>
      </c>
      <c r="G366" s="11" t="str">
        <f t="shared" si="46"/>
        <v/>
      </c>
      <c r="H366" s="11">
        <f t="shared" si="47"/>
        <v>1</v>
      </c>
      <c r="I366" s="11">
        <f t="shared" si="48"/>
        <v>-45</v>
      </c>
      <c r="J366" s="11">
        <v>1</v>
      </c>
      <c r="K366" s="11">
        <f t="shared" si="49"/>
        <v>1</v>
      </c>
      <c r="L366" s="11" t="str">
        <f>'DA - 56'!H190</f>
        <v xml:space="preserve">Aerobar Bolts: Top 35mm; Bottom 15mm </v>
      </c>
    </row>
    <row r="367" spans="1:12" x14ac:dyDescent="0.25">
      <c r="A367" s="11">
        <f>'DA - 56'!C191</f>
        <v>515</v>
      </c>
      <c r="B367" s="11">
        <f>'DA - 56'!D191</f>
        <v>485</v>
      </c>
      <c r="C367" s="11">
        <f>'DA - 56'!E191</f>
        <v>565</v>
      </c>
      <c r="D367" s="11">
        <f>'DA - 56'!G191</f>
        <v>655</v>
      </c>
      <c r="E367" s="11" t="str">
        <f>'DA - 56'!B191</f>
        <v>Frame: 56 ----- Stem: 110x0  ----- Aluminium Aerobar + 40 + bridge + 10 + 5</v>
      </c>
      <c r="F367" s="11" t="str">
        <f t="shared" si="45"/>
        <v/>
      </c>
      <c r="G367" s="11" t="str">
        <f t="shared" si="46"/>
        <v/>
      </c>
      <c r="H367" s="11">
        <f t="shared" si="47"/>
        <v>1</v>
      </c>
      <c r="I367" s="11">
        <f t="shared" si="48"/>
        <v>-45</v>
      </c>
      <c r="J367" s="11">
        <v>1</v>
      </c>
      <c r="K367" s="11">
        <f t="shared" si="49"/>
        <v>1</v>
      </c>
      <c r="L367" s="11" t="str">
        <f>'DA - 56'!H191</f>
        <v xml:space="preserve">Aerobar Bolts: Top 35mm; Bottom 25mm </v>
      </c>
    </row>
    <row r="368" spans="1:12" x14ac:dyDescent="0.25">
      <c r="A368" s="11">
        <f>'DA - 54'!C12</f>
        <v>455</v>
      </c>
      <c r="B368" s="11">
        <f>'DA - 54'!D12</f>
        <v>425</v>
      </c>
      <c r="C368" s="11">
        <f>'DA - 54'!E12</f>
        <v>505</v>
      </c>
      <c r="D368" s="11">
        <f>'DA - 54'!G12</f>
        <v>0</v>
      </c>
      <c r="E368" s="11" t="str">
        <f>'DA - 54'!B12</f>
        <v>Frame: 54 ----- Stem: 70x30  ----- Carbon Aerobar</v>
      </c>
      <c r="F368" s="11">
        <f t="shared" si="45"/>
        <v>1</v>
      </c>
      <c r="G368" s="11" t="str">
        <f t="shared" si="46"/>
        <v/>
      </c>
      <c r="H368" s="11" t="str">
        <f t="shared" si="47"/>
        <v/>
      </c>
      <c r="I368" s="11">
        <f t="shared" si="48"/>
        <v>15</v>
      </c>
      <c r="J368" s="11">
        <v>1</v>
      </c>
      <c r="K368" s="11">
        <f t="shared" si="49"/>
        <v>1</v>
      </c>
      <c r="L368" s="11" t="str">
        <f>'DA - 54'!H12</f>
        <v xml:space="preserve">Aerobar Bolts: Top N/A; Bottom N/A </v>
      </c>
    </row>
    <row r="369" spans="1:12" x14ac:dyDescent="0.25">
      <c r="A369" s="11">
        <f>'DA - 54'!C13</f>
        <v>455</v>
      </c>
      <c r="B369" s="11">
        <f>'DA - 54'!D13</f>
        <v>425</v>
      </c>
      <c r="C369" s="11">
        <f>'DA - 54'!E13</f>
        <v>505</v>
      </c>
      <c r="D369" s="11">
        <f>'DA - 54'!G13</f>
        <v>595</v>
      </c>
      <c r="E369" s="11" t="str">
        <f>'DA - 54'!B13</f>
        <v>Frame: 54 ----- Stem: 70x30  ----- Carbon Aerobar + 5</v>
      </c>
      <c r="F369" s="11">
        <f t="shared" si="45"/>
        <v>1</v>
      </c>
      <c r="G369" s="11" t="str">
        <f t="shared" si="46"/>
        <v/>
      </c>
      <c r="H369" s="11" t="str">
        <f t="shared" si="47"/>
        <v/>
      </c>
      <c r="I369" s="11">
        <f t="shared" si="48"/>
        <v>15</v>
      </c>
      <c r="J369" s="11">
        <v>1</v>
      </c>
      <c r="K369" s="11">
        <f t="shared" si="49"/>
        <v>1</v>
      </c>
      <c r="L369" s="11" t="str">
        <f>'DA - 54'!H13</f>
        <v xml:space="preserve">Aerobar Bolts: Top 45mm; Bottom N/A </v>
      </c>
    </row>
    <row r="370" spans="1:12" x14ac:dyDescent="0.25">
      <c r="A370" s="11">
        <f>'DA - 54'!C14</f>
        <v>455</v>
      </c>
      <c r="B370" s="11">
        <f>'DA - 54'!D14</f>
        <v>425</v>
      </c>
      <c r="C370" s="11">
        <f>'DA - 54'!E14</f>
        <v>505</v>
      </c>
      <c r="D370" s="11">
        <f>'DA - 54'!G14</f>
        <v>600</v>
      </c>
      <c r="E370" s="11" t="str">
        <f>'DA - 54'!B14</f>
        <v>Frame: 54 ----- Stem: 70x30  ----- Carbon Aerobar + 10</v>
      </c>
      <c r="F370" s="11">
        <f t="shared" si="45"/>
        <v>1</v>
      </c>
      <c r="G370" s="11" t="str">
        <f t="shared" si="46"/>
        <v/>
      </c>
      <c r="H370" s="11" t="str">
        <f t="shared" si="47"/>
        <v/>
      </c>
      <c r="I370" s="11">
        <f t="shared" si="48"/>
        <v>15</v>
      </c>
      <c r="J370" s="11">
        <v>1</v>
      </c>
      <c r="K370" s="11">
        <f t="shared" si="49"/>
        <v>1</v>
      </c>
      <c r="L370" s="11" t="str">
        <f>'DA - 54'!H14</f>
        <v xml:space="preserve">Aerobar Bolts: Top 50mm; Bottom N/A </v>
      </c>
    </row>
    <row r="371" spans="1:12" x14ac:dyDescent="0.25">
      <c r="A371" s="11">
        <f>'DA - 54'!C15</f>
        <v>455</v>
      </c>
      <c r="B371" s="11">
        <f>'DA - 54'!D15</f>
        <v>425</v>
      </c>
      <c r="C371" s="11">
        <f>'DA - 54'!E15</f>
        <v>505</v>
      </c>
      <c r="D371" s="11">
        <f>'DA - 54'!G15</f>
        <v>605</v>
      </c>
      <c r="E371" s="11" t="str">
        <f>'DA - 54'!B15</f>
        <v>Frame: 54 ----- Stem: 70x30  ----- Carbon Aerobar + 5 + 10</v>
      </c>
      <c r="F371" s="11">
        <f t="shared" si="45"/>
        <v>1</v>
      </c>
      <c r="G371" s="11" t="str">
        <f t="shared" si="46"/>
        <v/>
      </c>
      <c r="H371" s="11" t="str">
        <f t="shared" si="47"/>
        <v/>
      </c>
      <c r="I371" s="11">
        <f t="shared" si="48"/>
        <v>15</v>
      </c>
      <c r="J371" s="11">
        <v>1</v>
      </c>
      <c r="K371" s="11">
        <f t="shared" si="49"/>
        <v>1</v>
      </c>
      <c r="L371" s="11" t="str">
        <f>'DA - 54'!H15</f>
        <v xml:space="preserve">Aerobar Bolts: Top 55mm; Bottom N/A </v>
      </c>
    </row>
    <row r="372" spans="1:12" x14ac:dyDescent="0.25">
      <c r="A372" s="11">
        <f>'DA - 54'!C16</f>
        <v>455</v>
      </c>
      <c r="B372" s="11">
        <f>'DA - 54'!D16</f>
        <v>425</v>
      </c>
      <c r="C372" s="11">
        <f>'DA - 54'!E16</f>
        <v>505</v>
      </c>
      <c r="D372" s="11">
        <f>'DA - 54'!G16</f>
        <v>610</v>
      </c>
      <c r="E372" s="11" t="str">
        <f>'DA - 54'!B16</f>
        <v>Frame: 54 ----- Stem: 70x30  ----- Carbon Aerobar + 20</v>
      </c>
      <c r="F372" s="11">
        <f t="shared" si="45"/>
        <v>1</v>
      </c>
      <c r="G372" s="11" t="str">
        <f t="shared" si="46"/>
        <v/>
      </c>
      <c r="H372" s="11" t="str">
        <f t="shared" si="47"/>
        <v/>
      </c>
      <c r="I372" s="11">
        <f t="shared" si="48"/>
        <v>15</v>
      </c>
      <c r="J372" s="11">
        <v>1</v>
      </c>
      <c r="K372" s="11">
        <f t="shared" si="49"/>
        <v>1</v>
      </c>
      <c r="L372" s="11" t="str">
        <f>'DA - 54'!H16</f>
        <v xml:space="preserve">Aerobar Bolts: Top 20mm; Bottom 30mm </v>
      </c>
    </row>
    <row r="373" spans="1:12" x14ac:dyDescent="0.25">
      <c r="A373" s="11">
        <f>'DA - 54'!C17</f>
        <v>455</v>
      </c>
      <c r="B373" s="11">
        <f>'DA - 54'!D17</f>
        <v>425</v>
      </c>
      <c r="C373" s="11">
        <f>'DA - 54'!E17</f>
        <v>505</v>
      </c>
      <c r="D373" s="11">
        <f>'DA - 54'!G17</f>
        <v>615</v>
      </c>
      <c r="E373" s="11" t="str">
        <f>'DA - 54'!B17</f>
        <v>Frame: 54 ----- Stem: 70x30  ----- Carbon Aerobar + 20 + 5</v>
      </c>
      <c r="F373" s="11">
        <f t="shared" si="45"/>
        <v>1</v>
      </c>
      <c r="G373" s="11" t="str">
        <f t="shared" si="46"/>
        <v/>
      </c>
      <c r="H373" s="11" t="str">
        <f t="shared" si="47"/>
        <v/>
      </c>
      <c r="I373" s="11">
        <f t="shared" si="48"/>
        <v>15</v>
      </c>
      <c r="J373" s="11">
        <v>1</v>
      </c>
      <c r="K373" s="11">
        <f t="shared" si="49"/>
        <v>1</v>
      </c>
      <c r="L373" s="11" t="str">
        <f>'DA - 54'!H17</f>
        <v xml:space="preserve">Aerobar Bolts: Top 25mm; Bottom 30mm </v>
      </c>
    </row>
    <row r="374" spans="1:12" x14ac:dyDescent="0.25">
      <c r="A374" s="11">
        <f>'DA - 54'!C18</f>
        <v>455</v>
      </c>
      <c r="B374" s="11">
        <f>'DA - 54'!D18</f>
        <v>425</v>
      </c>
      <c r="C374" s="11">
        <f>'DA - 54'!E18</f>
        <v>505</v>
      </c>
      <c r="D374" s="11">
        <f>'DA - 54'!G18</f>
        <v>615</v>
      </c>
      <c r="E374" s="11" t="str">
        <f>'DA - 54'!B18</f>
        <v>Frame: 54 ----- Stem: 70x30  ----- Carbon Aerobar + 20 + bridge</v>
      </c>
      <c r="F374" s="11">
        <f t="shared" si="45"/>
        <v>1</v>
      </c>
      <c r="G374" s="11" t="str">
        <f t="shared" si="46"/>
        <v/>
      </c>
      <c r="H374" s="11" t="str">
        <f t="shared" si="47"/>
        <v/>
      </c>
      <c r="I374" s="11">
        <f t="shared" si="48"/>
        <v>15</v>
      </c>
      <c r="J374" s="11">
        <v>1</v>
      </c>
      <c r="K374" s="11">
        <f t="shared" si="49"/>
        <v>1</v>
      </c>
      <c r="L374" s="11" t="str">
        <f>'DA - 54'!H18</f>
        <v xml:space="preserve">Aerobar Bolts: Top 25mm; Bottom 30mm </v>
      </c>
    </row>
    <row r="375" spans="1:12" x14ac:dyDescent="0.25">
      <c r="A375" s="11">
        <f>'DA - 54'!C19</f>
        <v>455</v>
      </c>
      <c r="B375" s="11">
        <f>'DA - 54'!D19</f>
        <v>425</v>
      </c>
      <c r="C375" s="11">
        <f>'DA - 54'!E19</f>
        <v>505</v>
      </c>
      <c r="D375" s="11">
        <f>'DA - 54'!G19</f>
        <v>620</v>
      </c>
      <c r="E375" s="11" t="str">
        <f>'DA - 54'!B19</f>
        <v>Frame: 54 ----- Stem: 70x30  ----- Carbon Aerobar + 30</v>
      </c>
      <c r="F375" s="11">
        <f t="shared" si="45"/>
        <v>1</v>
      </c>
      <c r="G375" s="11">
        <f t="shared" si="46"/>
        <v>1</v>
      </c>
      <c r="H375" s="11" t="str">
        <f t="shared" si="47"/>
        <v/>
      </c>
      <c r="I375" s="11">
        <f t="shared" si="48"/>
        <v>15</v>
      </c>
      <c r="J375" s="11">
        <v>1</v>
      </c>
      <c r="K375" s="11">
        <f t="shared" si="49"/>
        <v>1</v>
      </c>
      <c r="L375" s="11" t="str">
        <f>'DA - 54'!H19</f>
        <v xml:space="preserve">Aerobar Bolts: Top 25mm; Bottom 30mm </v>
      </c>
    </row>
    <row r="376" spans="1:12" x14ac:dyDescent="0.25">
      <c r="A376" s="11">
        <f>'DA - 54'!C20</f>
        <v>455</v>
      </c>
      <c r="B376" s="11">
        <f>'DA - 54'!D20</f>
        <v>425</v>
      </c>
      <c r="C376" s="11">
        <f>'DA - 54'!E20</f>
        <v>505</v>
      </c>
      <c r="D376" s="11">
        <f>'DA - 54'!G20</f>
        <v>620</v>
      </c>
      <c r="E376" s="11" t="str">
        <f>'DA - 54'!B20</f>
        <v>Frame: 54 ----- Stem: 70x30  ----- Carbon Aerobar + 20 + bridge + 5</v>
      </c>
      <c r="F376" s="11">
        <f t="shared" si="45"/>
        <v>1</v>
      </c>
      <c r="G376" s="11" t="str">
        <f t="shared" si="46"/>
        <v/>
      </c>
      <c r="H376" s="11" t="str">
        <f t="shared" si="47"/>
        <v/>
      </c>
      <c r="I376" s="11">
        <f t="shared" si="48"/>
        <v>15</v>
      </c>
      <c r="J376" s="11">
        <v>1</v>
      </c>
      <c r="K376" s="11">
        <f t="shared" si="49"/>
        <v>1</v>
      </c>
      <c r="L376" s="11" t="str">
        <f>'DA - 54'!H20</f>
        <v xml:space="preserve">Aerobar Bolts: Top 30mm; Bottom 30mm </v>
      </c>
    </row>
    <row r="377" spans="1:12" x14ac:dyDescent="0.25">
      <c r="A377" s="11">
        <f>'DA - 54'!C21</f>
        <v>455</v>
      </c>
      <c r="B377" s="11">
        <f>'DA - 54'!D21</f>
        <v>425</v>
      </c>
      <c r="C377" s="11">
        <f>'DA - 54'!E21</f>
        <v>505</v>
      </c>
      <c r="D377" s="11">
        <f>'DA - 54'!G21</f>
        <v>625</v>
      </c>
      <c r="E377" s="11" t="str">
        <f>'DA - 54'!B21</f>
        <v>Frame: 54 ----- Stem: 70x30  ----- Carbon Aerobar + 30 + bridge</v>
      </c>
      <c r="F377" s="11">
        <f t="shared" si="45"/>
        <v>1</v>
      </c>
      <c r="G377" s="11">
        <f t="shared" si="46"/>
        <v>1</v>
      </c>
      <c r="H377" s="11" t="str">
        <f t="shared" si="47"/>
        <v/>
      </c>
      <c r="I377" s="11">
        <f t="shared" si="48"/>
        <v>15</v>
      </c>
      <c r="J377" s="11">
        <v>1</v>
      </c>
      <c r="K377" s="11">
        <f t="shared" si="49"/>
        <v>1</v>
      </c>
      <c r="L377" s="11" t="str">
        <f>'DA - 54'!H21</f>
        <v xml:space="preserve">Aerobar Bolts: Top 30mm; Bottom 30mm </v>
      </c>
    </row>
    <row r="378" spans="1:12" x14ac:dyDescent="0.25">
      <c r="A378" s="11">
        <f>'DA - 54'!C22</f>
        <v>455</v>
      </c>
      <c r="B378" s="11">
        <f>'DA - 54'!D22</f>
        <v>425</v>
      </c>
      <c r="C378" s="11">
        <f>'DA - 54'!E22</f>
        <v>505</v>
      </c>
      <c r="D378" s="11">
        <f>'DA - 54'!G22</f>
        <v>630</v>
      </c>
      <c r="E378" s="11" t="str">
        <f>'DA - 54'!B22</f>
        <v>Frame: 54 ----- Stem: 70x30  ----- Carbon Aerobar + 30 + bridge + 5</v>
      </c>
      <c r="F378" s="11">
        <f t="shared" si="45"/>
        <v>1</v>
      </c>
      <c r="G378" s="11">
        <f t="shared" si="46"/>
        <v>1</v>
      </c>
      <c r="H378" s="11" t="str">
        <f t="shared" si="47"/>
        <v/>
      </c>
      <c r="I378" s="11">
        <f t="shared" si="48"/>
        <v>15</v>
      </c>
      <c r="J378" s="11">
        <v>1</v>
      </c>
      <c r="K378" s="11">
        <f t="shared" si="49"/>
        <v>1</v>
      </c>
      <c r="L378" s="11" t="str">
        <f>'DA - 54'!H22</f>
        <v xml:space="preserve">Aerobar Bolts: Top 35mm; Bottom 30mm </v>
      </c>
    </row>
    <row r="379" spans="1:12" x14ac:dyDescent="0.25">
      <c r="A379" s="11">
        <f>'DA - 54'!C23</f>
        <v>455</v>
      </c>
      <c r="B379" s="11">
        <f>'DA - 54'!D23</f>
        <v>425</v>
      </c>
      <c r="C379" s="11">
        <f>'DA - 54'!E23</f>
        <v>505</v>
      </c>
      <c r="D379" s="11">
        <f>'DA - 54'!G23</f>
        <v>635</v>
      </c>
      <c r="E379" s="11" t="str">
        <f>'DA - 54'!B23</f>
        <v>Frame: 54 ----- Stem: 70x30  ----- Carbon Aerobar + 40 + bridge</v>
      </c>
      <c r="F379" s="11">
        <f t="shared" si="45"/>
        <v>1</v>
      </c>
      <c r="G379" s="11" t="str">
        <f t="shared" si="46"/>
        <v/>
      </c>
      <c r="H379" s="11">
        <f t="shared" si="47"/>
        <v>1</v>
      </c>
      <c r="I379" s="11">
        <f t="shared" si="48"/>
        <v>15</v>
      </c>
      <c r="J379" s="11">
        <v>1</v>
      </c>
      <c r="K379" s="11">
        <f t="shared" si="49"/>
        <v>1</v>
      </c>
      <c r="L379" s="11" t="str">
        <f>'DA - 54'!H23</f>
        <v xml:space="preserve">Aerobar Bolts: Top 35mm; Bottom 30mm </v>
      </c>
    </row>
    <row r="380" spans="1:12" x14ac:dyDescent="0.25">
      <c r="A380" s="11">
        <f>'DA - 54'!C24</f>
        <v>455</v>
      </c>
      <c r="B380" s="11">
        <f>'DA - 54'!D24</f>
        <v>425</v>
      </c>
      <c r="C380" s="11">
        <f>'DA - 54'!E24</f>
        <v>505</v>
      </c>
      <c r="D380" s="11">
        <f>'DA - 54'!G24</f>
        <v>640</v>
      </c>
      <c r="E380" s="11" t="str">
        <f>'DA - 54'!B24</f>
        <v>Frame: 54 ----- Stem: 70x30  ----- Carbon Aerobar + 40 + bridge + 5</v>
      </c>
      <c r="F380" s="11">
        <f t="shared" si="45"/>
        <v>1</v>
      </c>
      <c r="G380" s="11" t="str">
        <f t="shared" si="46"/>
        <v/>
      </c>
      <c r="H380" s="11">
        <f t="shared" si="47"/>
        <v>1</v>
      </c>
      <c r="I380" s="11">
        <f t="shared" si="48"/>
        <v>15</v>
      </c>
      <c r="J380" s="11">
        <v>1</v>
      </c>
      <c r="K380" s="11">
        <f t="shared" si="49"/>
        <v>1</v>
      </c>
      <c r="L380" s="11" t="str">
        <f>'DA - 54'!H24</f>
        <v xml:space="preserve">Aerobar Bolts: Top 35mm; Bottom 30mm </v>
      </c>
    </row>
    <row r="381" spans="1:12" x14ac:dyDescent="0.25">
      <c r="A381" s="11">
        <f>'DA - 54'!C25</f>
        <v>455</v>
      </c>
      <c r="B381" s="11">
        <f>'DA - 54'!D25</f>
        <v>425</v>
      </c>
      <c r="C381" s="11">
        <f>'DA - 54'!E25</f>
        <v>505</v>
      </c>
      <c r="D381" s="11">
        <f>'DA - 54'!G25</f>
        <v>645</v>
      </c>
      <c r="E381" s="11" t="str">
        <f>'DA - 54'!B25</f>
        <v>Frame: 54 ----- Stem: 70x30  ----- Carbon Aerobar + 40 + bridge + 10</v>
      </c>
      <c r="F381" s="11">
        <f t="shared" si="45"/>
        <v>1</v>
      </c>
      <c r="G381" s="11" t="str">
        <f t="shared" si="46"/>
        <v/>
      </c>
      <c r="H381" s="11">
        <f t="shared" si="47"/>
        <v>1</v>
      </c>
      <c r="I381" s="11">
        <f t="shared" si="48"/>
        <v>15</v>
      </c>
      <c r="J381" s="11">
        <v>1</v>
      </c>
      <c r="K381" s="11">
        <f t="shared" si="49"/>
        <v>1</v>
      </c>
      <c r="L381" s="11" t="str">
        <f>'DA - 54'!H25</f>
        <v xml:space="preserve">Aerobar Bolts: Top 40mm; Bottom 30mm </v>
      </c>
    </row>
    <row r="382" spans="1:12" x14ac:dyDescent="0.25">
      <c r="A382" s="11">
        <f>'DA - 54'!C26</f>
        <v>455</v>
      </c>
      <c r="B382" s="11">
        <f>'DA - 54'!D26</f>
        <v>425</v>
      </c>
      <c r="C382" s="11">
        <f>'DA - 54'!E26</f>
        <v>505</v>
      </c>
      <c r="D382" s="11">
        <f>'DA - 54'!G26</f>
        <v>650</v>
      </c>
      <c r="E382" s="11" t="str">
        <f>'DA - 54'!B26</f>
        <v>Frame: 54 ----- Stem: 70x30  ----- Carbon Aerobar + 40 + bridge + 10 + 5</v>
      </c>
      <c r="F382" s="11">
        <f t="shared" si="45"/>
        <v>1</v>
      </c>
      <c r="G382" s="11" t="str">
        <f t="shared" si="46"/>
        <v/>
      </c>
      <c r="H382" s="11">
        <f t="shared" si="47"/>
        <v>1</v>
      </c>
      <c r="I382" s="11">
        <f t="shared" si="48"/>
        <v>15</v>
      </c>
      <c r="J382" s="11">
        <v>1</v>
      </c>
      <c r="K382" s="11">
        <f t="shared" si="49"/>
        <v>1</v>
      </c>
      <c r="L382" s="11" t="str">
        <f>'DA - 54'!H26</f>
        <v xml:space="preserve">Aerobar Bolts: Top 45mm; Bottom 30mm </v>
      </c>
    </row>
    <row r="383" spans="1:12" x14ac:dyDescent="0.25">
      <c r="A383" s="11">
        <f>'DA - 54'!C27</f>
        <v>445</v>
      </c>
      <c r="B383" s="11">
        <f>'DA - 54'!D27</f>
        <v>415</v>
      </c>
      <c r="C383" s="11">
        <f>'DA - 54'!E27</f>
        <v>495</v>
      </c>
      <c r="D383" s="11">
        <f>'DA - 54'!G27</f>
        <v>0</v>
      </c>
      <c r="E383" s="11" t="str">
        <f>'DA - 54'!B27</f>
        <v>Frame: 54 ----- Stem: 70x60  ----- Carbon Aerobar</v>
      </c>
      <c r="F383" s="11">
        <f t="shared" si="45"/>
        <v>1</v>
      </c>
      <c r="G383" s="11" t="str">
        <f t="shared" si="46"/>
        <v/>
      </c>
      <c r="H383" s="11" t="str">
        <f t="shared" si="47"/>
        <v/>
      </c>
      <c r="I383" s="11">
        <f t="shared" si="48"/>
        <v>25</v>
      </c>
      <c r="J383" s="11">
        <v>1</v>
      </c>
      <c r="K383" s="11">
        <f t="shared" si="49"/>
        <v>1</v>
      </c>
      <c r="L383" s="11" t="str">
        <f>'DA - 54'!H27</f>
        <v xml:space="preserve">Aerobar Bolts: Top N/A; Bottom N/A </v>
      </c>
    </row>
    <row r="384" spans="1:12" x14ac:dyDescent="0.25">
      <c r="A384" s="11">
        <f>'DA - 54'!C28</f>
        <v>445</v>
      </c>
      <c r="B384" s="11">
        <f>'DA - 54'!D28</f>
        <v>415</v>
      </c>
      <c r="C384" s="11">
        <f>'DA - 54'!E28</f>
        <v>495</v>
      </c>
      <c r="D384" s="11">
        <f>'DA - 54'!G28</f>
        <v>625</v>
      </c>
      <c r="E384" s="11" t="str">
        <f>'DA - 54'!B28</f>
        <v>Frame: 54 ----- Stem: 70x60  ----- Carbon Aerobar + 5</v>
      </c>
      <c r="F384" s="11">
        <f t="shared" si="45"/>
        <v>1</v>
      </c>
      <c r="G384" s="11" t="str">
        <f t="shared" si="46"/>
        <v/>
      </c>
      <c r="H384" s="11" t="str">
        <f t="shared" si="47"/>
        <v/>
      </c>
      <c r="I384" s="11">
        <f t="shared" si="48"/>
        <v>25</v>
      </c>
      <c r="J384" s="11">
        <v>1</v>
      </c>
      <c r="K384" s="11">
        <f t="shared" si="49"/>
        <v>1</v>
      </c>
      <c r="L384" s="11" t="str">
        <f>'DA - 54'!H28</f>
        <v xml:space="preserve">Aerobar Bolts: Top 45mm; Bottom N/A </v>
      </c>
    </row>
    <row r="385" spans="1:12" x14ac:dyDescent="0.25">
      <c r="A385" s="11">
        <f>'DA - 54'!C29</f>
        <v>445</v>
      </c>
      <c r="B385" s="11">
        <f>'DA - 54'!D29</f>
        <v>415</v>
      </c>
      <c r="C385" s="11">
        <f>'DA - 54'!E29</f>
        <v>495</v>
      </c>
      <c r="D385" s="11">
        <f>'DA - 54'!G29</f>
        <v>630</v>
      </c>
      <c r="E385" s="11" t="str">
        <f>'DA - 54'!B29</f>
        <v>Frame: 54 ----- Stem: 70x60  ----- Carbon Aerobar + 10</v>
      </c>
      <c r="F385" s="11">
        <f t="shared" ref="F385:F448" si="50">IF(AND($F$5&gt;=B385,$F$5&lt;=C385),1,"")</f>
        <v>1</v>
      </c>
      <c r="G385" s="11" t="str">
        <f t="shared" si="46"/>
        <v/>
      </c>
      <c r="H385" s="11" t="str">
        <f t="shared" si="47"/>
        <v/>
      </c>
      <c r="I385" s="11">
        <f t="shared" si="48"/>
        <v>25</v>
      </c>
      <c r="J385" s="11">
        <v>1</v>
      </c>
      <c r="K385" s="11">
        <f t="shared" si="49"/>
        <v>1</v>
      </c>
      <c r="L385" s="11" t="str">
        <f>'DA - 54'!H29</f>
        <v xml:space="preserve">Aerobar Bolts: Top 50mm; Bottom N/A </v>
      </c>
    </row>
    <row r="386" spans="1:12" x14ac:dyDescent="0.25">
      <c r="A386" s="11">
        <f>'DA - 54'!C30</f>
        <v>445</v>
      </c>
      <c r="B386" s="11">
        <f>'DA - 54'!D30</f>
        <v>415</v>
      </c>
      <c r="C386" s="11">
        <f>'DA - 54'!E30</f>
        <v>495</v>
      </c>
      <c r="D386" s="11">
        <f>'DA - 54'!G30</f>
        <v>635</v>
      </c>
      <c r="E386" s="11" t="str">
        <f>'DA - 54'!B30</f>
        <v>Frame: 54 ----- Stem: 70x60  ----- Carbon Aerobar + 5 + 10</v>
      </c>
      <c r="F386" s="11">
        <f t="shared" si="50"/>
        <v>1</v>
      </c>
      <c r="G386" s="11" t="str">
        <f t="shared" si="46"/>
        <v/>
      </c>
      <c r="H386" s="11" t="str">
        <f t="shared" si="47"/>
        <v/>
      </c>
      <c r="I386" s="11">
        <f t="shared" si="48"/>
        <v>25</v>
      </c>
      <c r="J386" s="11">
        <v>1</v>
      </c>
      <c r="K386" s="11">
        <f t="shared" si="49"/>
        <v>1</v>
      </c>
      <c r="L386" s="11" t="str">
        <f>'DA - 54'!H30</f>
        <v xml:space="preserve">Aerobar Bolts: Top 55mm; Bottom N/A </v>
      </c>
    </row>
    <row r="387" spans="1:12" x14ac:dyDescent="0.25">
      <c r="A387" s="11">
        <f>'DA - 54'!C31</f>
        <v>445</v>
      </c>
      <c r="B387" s="11">
        <f>'DA - 54'!D31</f>
        <v>415</v>
      </c>
      <c r="C387" s="11">
        <f>'DA - 54'!E31</f>
        <v>495</v>
      </c>
      <c r="D387" s="11">
        <f>'DA - 54'!G31</f>
        <v>640</v>
      </c>
      <c r="E387" s="11" t="str">
        <f>'DA - 54'!B31</f>
        <v>Frame: 54 ----- Stem: 70x60  ----- Carbon Aerobar + 20</v>
      </c>
      <c r="F387" s="11">
        <f t="shared" si="50"/>
        <v>1</v>
      </c>
      <c r="G387" s="11" t="str">
        <f t="shared" si="46"/>
        <v/>
      </c>
      <c r="H387" s="11" t="str">
        <f t="shared" si="47"/>
        <v/>
      </c>
      <c r="I387" s="11">
        <f t="shared" si="48"/>
        <v>25</v>
      </c>
      <c r="J387" s="11">
        <v>1</v>
      </c>
      <c r="K387" s="11">
        <f t="shared" si="49"/>
        <v>1</v>
      </c>
      <c r="L387" s="11" t="str">
        <f>'DA - 54'!H31</f>
        <v xml:space="preserve">Aerobar Bolts: Top 20mm; Bottom 30mm </v>
      </c>
    </row>
    <row r="388" spans="1:12" x14ac:dyDescent="0.25">
      <c r="A388" s="11">
        <f>'DA - 54'!C32</f>
        <v>445</v>
      </c>
      <c r="B388" s="11">
        <f>'DA - 54'!D32</f>
        <v>415</v>
      </c>
      <c r="C388" s="11">
        <f>'DA - 54'!E32</f>
        <v>495</v>
      </c>
      <c r="D388" s="11">
        <f>'DA - 54'!G32</f>
        <v>645</v>
      </c>
      <c r="E388" s="11" t="str">
        <f>'DA - 54'!B32</f>
        <v>Frame: 54 ----- Stem: 70x60  ----- Carbon Aerobar + 20 + 5</v>
      </c>
      <c r="F388" s="11">
        <f t="shared" si="50"/>
        <v>1</v>
      </c>
      <c r="G388" s="11" t="str">
        <f t="shared" si="46"/>
        <v/>
      </c>
      <c r="H388" s="11" t="str">
        <f t="shared" si="47"/>
        <v/>
      </c>
      <c r="I388" s="11">
        <f t="shared" si="48"/>
        <v>25</v>
      </c>
      <c r="J388" s="11">
        <v>1</v>
      </c>
      <c r="K388" s="11">
        <f t="shared" si="49"/>
        <v>1</v>
      </c>
      <c r="L388" s="11" t="str">
        <f>'DA - 54'!H32</f>
        <v xml:space="preserve">Aerobar Bolts: Top 25mm; Bottom 30mm </v>
      </c>
    </row>
    <row r="389" spans="1:12" x14ac:dyDescent="0.25">
      <c r="A389" s="11">
        <f>'DA - 54'!C33</f>
        <v>445</v>
      </c>
      <c r="B389" s="11">
        <f>'DA - 54'!D33</f>
        <v>415</v>
      </c>
      <c r="C389" s="11">
        <f>'DA - 54'!E33</f>
        <v>495</v>
      </c>
      <c r="D389" s="11">
        <f>'DA - 54'!G33</f>
        <v>645</v>
      </c>
      <c r="E389" s="11" t="str">
        <f>'DA - 54'!B33</f>
        <v>Frame: 54 ----- Stem: 70x60  ----- Carbon Aerobar + 20 + bridge</v>
      </c>
      <c r="F389" s="11">
        <f t="shared" si="50"/>
        <v>1</v>
      </c>
      <c r="G389" s="11" t="str">
        <f t="shared" si="46"/>
        <v/>
      </c>
      <c r="H389" s="11" t="str">
        <f t="shared" si="47"/>
        <v/>
      </c>
      <c r="I389" s="11">
        <f t="shared" si="48"/>
        <v>25</v>
      </c>
      <c r="J389" s="11">
        <v>1</v>
      </c>
      <c r="K389" s="11">
        <f t="shared" si="49"/>
        <v>1</v>
      </c>
      <c r="L389" s="11" t="str">
        <f>'DA - 54'!H33</f>
        <v xml:space="preserve">Aerobar Bolts: Top 25mm; Bottom 30mm </v>
      </c>
    </row>
    <row r="390" spans="1:12" x14ac:dyDescent="0.25">
      <c r="A390" s="11">
        <f>'DA - 54'!C34</f>
        <v>445</v>
      </c>
      <c r="B390" s="11">
        <f>'DA - 54'!D34</f>
        <v>415</v>
      </c>
      <c r="C390" s="11">
        <f>'DA - 54'!E34</f>
        <v>495</v>
      </c>
      <c r="D390" s="11">
        <f>'DA - 54'!G34</f>
        <v>650</v>
      </c>
      <c r="E390" s="11" t="str">
        <f>'DA - 54'!B34</f>
        <v>Frame: 54 ----- Stem: 70x60  ----- Carbon Aerobar + 30</v>
      </c>
      <c r="F390" s="11">
        <f t="shared" si="50"/>
        <v>1</v>
      </c>
      <c r="G390" s="11">
        <f t="shared" si="46"/>
        <v>1</v>
      </c>
      <c r="H390" s="11" t="str">
        <f t="shared" si="47"/>
        <v/>
      </c>
      <c r="I390" s="11">
        <f t="shared" si="48"/>
        <v>25</v>
      </c>
      <c r="J390" s="11">
        <v>1</v>
      </c>
      <c r="K390" s="11">
        <f t="shared" si="49"/>
        <v>1</v>
      </c>
      <c r="L390" s="11" t="str">
        <f>'DA - 54'!H34</f>
        <v xml:space="preserve">Aerobar Bolts: Top 25mm; Bottom 30mm </v>
      </c>
    </row>
    <row r="391" spans="1:12" x14ac:dyDescent="0.25">
      <c r="A391" s="11">
        <f>'DA - 54'!C35</f>
        <v>445</v>
      </c>
      <c r="B391" s="11">
        <f>'DA - 54'!D35</f>
        <v>415</v>
      </c>
      <c r="C391" s="11">
        <f>'DA - 54'!E35</f>
        <v>495</v>
      </c>
      <c r="D391" s="11">
        <f>'DA - 54'!G35</f>
        <v>650</v>
      </c>
      <c r="E391" s="11" t="str">
        <f>'DA - 54'!B35</f>
        <v>Frame: 54 ----- Stem: 70x60  ----- Carbon Aerobar + 20 + bridge + 5</v>
      </c>
      <c r="F391" s="11">
        <f t="shared" si="50"/>
        <v>1</v>
      </c>
      <c r="G391" s="11" t="str">
        <f t="shared" si="46"/>
        <v/>
      </c>
      <c r="H391" s="11" t="str">
        <f t="shared" si="47"/>
        <v/>
      </c>
      <c r="I391" s="11">
        <f t="shared" si="48"/>
        <v>25</v>
      </c>
      <c r="J391" s="11">
        <v>1</v>
      </c>
      <c r="K391" s="11">
        <f t="shared" si="49"/>
        <v>1</v>
      </c>
      <c r="L391" s="11" t="str">
        <f>'DA - 54'!H35</f>
        <v xml:space="preserve">Aerobar Bolts: Top 30mm; Bottom 30mm </v>
      </c>
    </row>
    <row r="392" spans="1:12" x14ac:dyDescent="0.25">
      <c r="A392" s="11">
        <f>'DA - 54'!C36</f>
        <v>445</v>
      </c>
      <c r="B392" s="11">
        <f>'DA - 54'!D36</f>
        <v>415</v>
      </c>
      <c r="C392" s="11">
        <f>'DA - 54'!E36</f>
        <v>495</v>
      </c>
      <c r="D392" s="11">
        <f>'DA - 54'!G36</f>
        <v>655</v>
      </c>
      <c r="E392" s="11" t="str">
        <f>'DA - 54'!B36</f>
        <v>Frame: 54 ----- Stem: 70x60  ----- Carbon Aerobar + 30 + bridge</v>
      </c>
      <c r="F392" s="11">
        <f t="shared" si="50"/>
        <v>1</v>
      </c>
      <c r="G392" s="11">
        <f t="shared" si="46"/>
        <v>1</v>
      </c>
      <c r="H392" s="11" t="str">
        <f t="shared" si="47"/>
        <v/>
      </c>
      <c r="I392" s="11">
        <f t="shared" si="48"/>
        <v>25</v>
      </c>
      <c r="J392" s="11">
        <v>1</v>
      </c>
      <c r="K392" s="11">
        <f t="shared" si="49"/>
        <v>1</v>
      </c>
      <c r="L392" s="11" t="str">
        <f>'DA - 54'!H36</f>
        <v xml:space="preserve">Aerobar Bolts: Top 30mm; Bottom 30mm </v>
      </c>
    </row>
    <row r="393" spans="1:12" x14ac:dyDescent="0.25">
      <c r="A393" s="11">
        <f>'DA - 54'!C37</f>
        <v>445</v>
      </c>
      <c r="B393" s="11">
        <f>'DA - 54'!D37</f>
        <v>415</v>
      </c>
      <c r="C393" s="11">
        <f>'DA - 54'!E37</f>
        <v>495</v>
      </c>
      <c r="D393" s="11">
        <f>'DA - 54'!G37</f>
        <v>660</v>
      </c>
      <c r="E393" s="11" t="str">
        <f>'DA - 54'!B37</f>
        <v>Frame: 54 ----- Stem: 70x60  ----- Carbon Aerobar + 30 + bridge + 5</v>
      </c>
      <c r="F393" s="11">
        <f t="shared" si="50"/>
        <v>1</v>
      </c>
      <c r="G393" s="11">
        <f t="shared" ref="G393:G456" si="51">IF(ISNUMBER(FIND(" 30",E393)),1,"")</f>
        <v>1</v>
      </c>
      <c r="H393" s="11" t="str">
        <f t="shared" ref="H393:H456" si="52">IF(ISNUMBER(FIND(" 40",E393)),1,"")</f>
        <v/>
      </c>
      <c r="I393" s="11">
        <f t="shared" ref="I393:I456" si="53">$F$5-A393</f>
        <v>25</v>
      </c>
      <c r="J393" s="11">
        <v>1</v>
      </c>
      <c r="K393" s="11">
        <f t="shared" ref="K393:K456" si="54">IF(ISNUMBER(FIND(" 58",E393)),$AD$9,IF(ISNUMBER(FIND(" 56",E393)),$AD$8,IF(ISNUMBER(FIND(" 54",E393)),$AD$7,IF(ISNUMBER(FIND(" 51",E393)),$AD$6,IF(ISNUMBER(FIND(" 47",E393)),$AD$5,"")))))</f>
        <v>1</v>
      </c>
      <c r="L393" s="11" t="str">
        <f>'DA - 54'!H37</f>
        <v xml:space="preserve">Aerobar Bolts: Top 35mm; Bottom 30mm </v>
      </c>
    </row>
    <row r="394" spans="1:12" x14ac:dyDescent="0.25">
      <c r="A394" s="11">
        <f>'DA - 54'!C38</f>
        <v>445</v>
      </c>
      <c r="B394" s="11">
        <f>'DA - 54'!D38</f>
        <v>415</v>
      </c>
      <c r="C394" s="11">
        <f>'DA - 54'!E38</f>
        <v>495</v>
      </c>
      <c r="D394" s="11">
        <f>'DA - 54'!G38</f>
        <v>665</v>
      </c>
      <c r="E394" s="11" t="str">
        <f>'DA - 54'!B38</f>
        <v>Frame: 54 ----- Stem: 70x60  ----- Carbon Aerobar + 40 + bridge</v>
      </c>
      <c r="F394" s="11">
        <f t="shared" si="50"/>
        <v>1</v>
      </c>
      <c r="G394" s="11" t="str">
        <f t="shared" si="51"/>
        <v/>
      </c>
      <c r="H394" s="11">
        <f t="shared" si="52"/>
        <v>1</v>
      </c>
      <c r="I394" s="11">
        <f t="shared" si="53"/>
        <v>25</v>
      </c>
      <c r="J394" s="11">
        <v>1</v>
      </c>
      <c r="K394" s="11">
        <f t="shared" si="54"/>
        <v>1</v>
      </c>
      <c r="L394" s="11" t="str">
        <f>'DA - 54'!H38</f>
        <v xml:space="preserve">Aerobar Bolts: Top 35mm; Bottom 30mm </v>
      </c>
    </row>
    <row r="395" spans="1:12" x14ac:dyDescent="0.25">
      <c r="A395" s="11">
        <f>'DA - 54'!C39</f>
        <v>445</v>
      </c>
      <c r="B395" s="11">
        <f>'DA - 54'!D39</f>
        <v>415</v>
      </c>
      <c r="C395" s="11">
        <f>'DA - 54'!E39</f>
        <v>495</v>
      </c>
      <c r="D395" s="11">
        <f>'DA - 54'!G39</f>
        <v>670</v>
      </c>
      <c r="E395" s="11" t="str">
        <f>'DA - 54'!B39</f>
        <v>Frame: 54 ----- Stem: 70x60  ----- Carbon Aerobar + 40 + bridge + 5</v>
      </c>
      <c r="F395" s="11">
        <f t="shared" si="50"/>
        <v>1</v>
      </c>
      <c r="G395" s="11" t="str">
        <f t="shared" si="51"/>
        <v/>
      </c>
      <c r="H395" s="11">
        <f t="shared" si="52"/>
        <v>1</v>
      </c>
      <c r="I395" s="11">
        <f t="shared" si="53"/>
        <v>25</v>
      </c>
      <c r="J395" s="11">
        <v>1</v>
      </c>
      <c r="K395" s="11">
        <f t="shared" si="54"/>
        <v>1</v>
      </c>
      <c r="L395" s="11" t="str">
        <f>'DA - 54'!H39</f>
        <v xml:space="preserve">Aerobar Bolts: Top 35mm; Bottom 30mm </v>
      </c>
    </row>
    <row r="396" spans="1:12" x14ac:dyDescent="0.25">
      <c r="A396" s="11">
        <f>'DA - 54'!C40</f>
        <v>445</v>
      </c>
      <c r="B396" s="11">
        <f>'DA - 54'!D40</f>
        <v>415</v>
      </c>
      <c r="C396" s="11">
        <f>'DA - 54'!E40</f>
        <v>495</v>
      </c>
      <c r="D396" s="11">
        <f>'DA - 54'!G40</f>
        <v>675</v>
      </c>
      <c r="E396" s="11" t="str">
        <f>'DA - 54'!B40</f>
        <v>Frame: 54 ----- Stem: 70x60  ----- Carbon Aerobar + 40 + bridge + 10</v>
      </c>
      <c r="F396" s="11">
        <f t="shared" si="50"/>
        <v>1</v>
      </c>
      <c r="G396" s="11" t="str">
        <f t="shared" si="51"/>
        <v/>
      </c>
      <c r="H396" s="11">
        <f t="shared" si="52"/>
        <v>1</v>
      </c>
      <c r="I396" s="11">
        <f t="shared" si="53"/>
        <v>25</v>
      </c>
      <c r="J396" s="11">
        <v>1</v>
      </c>
      <c r="K396" s="11">
        <f t="shared" si="54"/>
        <v>1</v>
      </c>
      <c r="L396" s="11" t="str">
        <f>'DA - 54'!H40</f>
        <v xml:space="preserve">Aerobar Bolts: Top 40mm; Bottom 30mm </v>
      </c>
    </row>
    <row r="397" spans="1:12" x14ac:dyDescent="0.25">
      <c r="A397" s="11">
        <f>'DA - 54'!C41</f>
        <v>445</v>
      </c>
      <c r="B397" s="11">
        <f>'DA - 54'!D41</f>
        <v>415</v>
      </c>
      <c r="C397" s="11">
        <f>'DA - 54'!E41</f>
        <v>495</v>
      </c>
      <c r="D397" s="11">
        <f>'DA - 54'!G41</f>
        <v>680</v>
      </c>
      <c r="E397" s="11" t="str">
        <f>'DA - 54'!B41</f>
        <v>Frame: 54 ----- Stem: 70x60  ----- Carbon Aerobar + 40 + bridge + 10 + 5</v>
      </c>
      <c r="F397" s="11">
        <f t="shared" si="50"/>
        <v>1</v>
      </c>
      <c r="G397" s="11" t="str">
        <f t="shared" si="51"/>
        <v/>
      </c>
      <c r="H397" s="11">
        <f t="shared" si="52"/>
        <v>1</v>
      </c>
      <c r="I397" s="11">
        <f t="shared" si="53"/>
        <v>25</v>
      </c>
      <c r="J397" s="11">
        <v>1</v>
      </c>
      <c r="K397" s="11">
        <f t="shared" si="54"/>
        <v>1</v>
      </c>
      <c r="L397" s="11" t="str">
        <f>'DA - 54'!H41</f>
        <v xml:space="preserve">Aerobar Bolts: Top 45mm; Bottom 30mm </v>
      </c>
    </row>
    <row r="398" spans="1:12" x14ac:dyDescent="0.25">
      <c r="A398" s="11">
        <f>'DA - 54'!C42</f>
        <v>485</v>
      </c>
      <c r="B398" s="11">
        <f>'DA - 54'!D42</f>
        <v>455</v>
      </c>
      <c r="C398" s="11">
        <f>'DA - 54'!E42</f>
        <v>535</v>
      </c>
      <c r="D398" s="11">
        <f>'DA - 54'!G42</f>
        <v>0</v>
      </c>
      <c r="E398" s="11" t="str">
        <f>'DA - 54'!B42</f>
        <v>Frame: 54 ----- Stem: 100x30  ----- Carbon Aerobar</v>
      </c>
      <c r="F398" s="11">
        <f t="shared" si="50"/>
        <v>1</v>
      </c>
      <c r="G398" s="11" t="str">
        <f t="shared" si="51"/>
        <v/>
      </c>
      <c r="H398" s="11" t="str">
        <f t="shared" si="52"/>
        <v/>
      </c>
      <c r="I398" s="11">
        <f t="shared" si="53"/>
        <v>-15</v>
      </c>
      <c r="J398" s="11">
        <v>1</v>
      </c>
      <c r="K398" s="11">
        <f t="shared" si="54"/>
        <v>1</v>
      </c>
      <c r="L398" s="11" t="str">
        <f>'DA - 54'!H42</f>
        <v xml:space="preserve">Aerobar Bolts: Top N/A; Bottom N/A </v>
      </c>
    </row>
    <row r="399" spans="1:12" x14ac:dyDescent="0.25">
      <c r="A399" s="11">
        <f>'DA - 54'!C43</f>
        <v>485</v>
      </c>
      <c r="B399" s="11">
        <f>'DA - 54'!D43</f>
        <v>455</v>
      </c>
      <c r="C399" s="11">
        <f>'DA - 54'!E43</f>
        <v>535</v>
      </c>
      <c r="D399" s="11">
        <f>'DA - 54'!G43</f>
        <v>595</v>
      </c>
      <c r="E399" s="11" t="str">
        <f>'DA - 54'!B43</f>
        <v>Frame: 54 ----- Stem: 100x30  ----- Carbon Aerobar + 5</v>
      </c>
      <c r="F399" s="11">
        <f t="shared" si="50"/>
        <v>1</v>
      </c>
      <c r="G399" s="11" t="str">
        <f t="shared" si="51"/>
        <v/>
      </c>
      <c r="H399" s="11" t="str">
        <f t="shared" si="52"/>
        <v/>
      </c>
      <c r="I399" s="11">
        <f t="shared" si="53"/>
        <v>-15</v>
      </c>
      <c r="J399" s="11">
        <v>1</v>
      </c>
      <c r="K399" s="11">
        <f t="shared" si="54"/>
        <v>1</v>
      </c>
      <c r="L399" s="11" t="str">
        <f>'DA - 54'!H43</f>
        <v xml:space="preserve">Aerobar Bolts: Top 45mm; Bottom N/A </v>
      </c>
    </row>
    <row r="400" spans="1:12" x14ac:dyDescent="0.25">
      <c r="A400" s="11">
        <f>'DA - 54'!C44</f>
        <v>485</v>
      </c>
      <c r="B400" s="11">
        <f>'DA - 54'!D44</f>
        <v>455</v>
      </c>
      <c r="C400" s="11">
        <f>'DA - 54'!E44</f>
        <v>535</v>
      </c>
      <c r="D400" s="11">
        <f>'DA - 54'!G44</f>
        <v>600</v>
      </c>
      <c r="E400" s="11" t="str">
        <f>'DA - 54'!B44</f>
        <v>Frame: 54 ----- Stem: 100x30  ----- Carbon Aerobar + 10</v>
      </c>
      <c r="F400" s="11">
        <f t="shared" si="50"/>
        <v>1</v>
      </c>
      <c r="G400" s="11" t="str">
        <f t="shared" si="51"/>
        <v/>
      </c>
      <c r="H400" s="11" t="str">
        <f t="shared" si="52"/>
        <v/>
      </c>
      <c r="I400" s="11">
        <f t="shared" si="53"/>
        <v>-15</v>
      </c>
      <c r="J400" s="11">
        <v>1</v>
      </c>
      <c r="K400" s="11">
        <f t="shared" si="54"/>
        <v>1</v>
      </c>
      <c r="L400" s="11" t="str">
        <f>'DA - 54'!H44</f>
        <v xml:space="preserve">Aerobar Bolts: Top 50mm; Bottom N/A </v>
      </c>
    </row>
    <row r="401" spans="1:12" x14ac:dyDescent="0.25">
      <c r="A401" s="11">
        <f>'DA - 54'!C45</f>
        <v>485</v>
      </c>
      <c r="B401" s="11">
        <f>'DA - 54'!D45</f>
        <v>455</v>
      </c>
      <c r="C401" s="11">
        <f>'DA - 54'!E45</f>
        <v>535</v>
      </c>
      <c r="D401" s="11">
        <f>'DA - 54'!G45</f>
        <v>605</v>
      </c>
      <c r="E401" s="11" t="str">
        <f>'DA - 54'!B45</f>
        <v>Frame: 54 ----- Stem: 100x30  ----- Carbon Aerobar + 5 + 10</v>
      </c>
      <c r="F401" s="11">
        <f t="shared" si="50"/>
        <v>1</v>
      </c>
      <c r="G401" s="11" t="str">
        <f t="shared" si="51"/>
        <v/>
      </c>
      <c r="H401" s="11" t="str">
        <f t="shared" si="52"/>
        <v/>
      </c>
      <c r="I401" s="11">
        <f t="shared" si="53"/>
        <v>-15</v>
      </c>
      <c r="J401" s="11">
        <v>1</v>
      </c>
      <c r="K401" s="11">
        <f t="shared" si="54"/>
        <v>1</v>
      </c>
      <c r="L401" s="11" t="str">
        <f>'DA - 54'!H45</f>
        <v xml:space="preserve">Aerobar Bolts: Top 55mm; Bottom N/A </v>
      </c>
    </row>
    <row r="402" spans="1:12" x14ac:dyDescent="0.25">
      <c r="A402" s="11">
        <f>'DA - 54'!C46</f>
        <v>485</v>
      </c>
      <c r="B402" s="11">
        <f>'DA - 54'!D46</f>
        <v>455</v>
      </c>
      <c r="C402" s="11">
        <f>'DA - 54'!E46</f>
        <v>535</v>
      </c>
      <c r="D402" s="11">
        <f>'DA - 54'!G46</f>
        <v>610</v>
      </c>
      <c r="E402" s="11" t="str">
        <f>'DA - 54'!B46</f>
        <v>Frame: 54 ----- Stem: 100x30  ----- Carbon Aerobar + 20</v>
      </c>
      <c r="F402" s="11">
        <f t="shared" si="50"/>
        <v>1</v>
      </c>
      <c r="G402" s="11" t="str">
        <f t="shared" si="51"/>
        <v/>
      </c>
      <c r="H402" s="11" t="str">
        <f t="shared" si="52"/>
        <v/>
      </c>
      <c r="I402" s="11">
        <f t="shared" si="53"/>
        <v>-15</v>
      </c>
      <c r="J402" s="11">
        <v>1</v>
      </c>
      <c r="K402" s="11">
        <f t="shared" si="54"/>
        <v>1</v>
      </c>
      <c r="L402" s="11" t="str">
        <f>'DA - 54'!H46</f>
        <v xml:space="preserve">Aerobar Bolts: Top 20mm; Bottom 30mm </v>
      </c>
    </row>
    <row r="403" spans="1:12" x14ac:dyDescent="0.25">
      <c r="A403" s="11">
        <f>'DA - 54'!C47</f>
        <v>485</v>
      </c>
      <c r="B403" s="11">
        <f>'DA - 54'!D47</f>
        <v>455</v>
      </c>
      <c r="C403" s="11">
        <f>'DA - 54'!E47</f>
        <v>535</v>
      </c>
      <c r="D403" s="11">
        <f>'DA - 54'!G47</f>
        <v>615</v>
      </c>
      <c r="E403" s="11" t="str">
        <f>'DA - 54'!B47</f>
        <v>Frame: 54 ----- Stem: 100x30  ----- Carbon Aerobar + 20 + 5</v>
      </c>
      <c r="F403" s="11">
        <f t="shared" si="50"/>
        <v>1</v>
      </c>
      <c r="G403" s="11" t="str">
        <f t="shared" si="51"/>
        <v/>
      </c>
      <c r="H403" s="11" t="str">
        <f t="shared" si="52"/>
        <v/>
      </c>
      <c r="I403" s="11">
        <f t="shared" si="53"/>
        <v>-15</v>
      </c>
      <c r="J403" s="11">
        <v>1</v>
      </c>
      <c r="K403" s="11">
        <f t="shared" si="54"/>
        <v>1</v>
      </c>
      <c r="L403" s="11" t="str">
        <f>'DA - 54'!H47</f>
        <v xml:space="preserve">Aerobar Bolts: Top 25mm; Bottom 30mm </v>
      </c>
    </row>
    <row r="404" spans="1:12" x14ac:dyDescent="0.25">
      <c r="A404" s="11">
        <f>'DA - 54'!C48</f>
        <v>485</v>
      </c>
      <c r="B404" s="11">
        <f>'DA - 54'!D48</f>
        <v>455</v>
      </c>
      <c r="C404" s="11">
        <f>'DA - 54'!E48</f>
        <v>535</v>
      </c>
      <c r="D404" s="11">
        <f>'DA - 54'!G48</f>
        <v>615</v>
      </c>
      <c r="E404" s="11" t="str">
        <f>'DA - 54'!B48</f>
        <v>Frame: 54 ----- Stem: 100x30  ----- Carbon Aerobar + 20 + bridge</v>
      </c>
      <c r="F404" s="11">
        <f t="shared" si="50"/>
        <v>1</v>
      </c>
      <c r="G404" s="11" t="str">
        <f t="shared" si="51"/>
        <v/>
      </c>
      <c r="H404" s="11" t="str">
        <f t="shared" si="52"/>
        <v/>
      </c>
      <c r="I404" s="11">
        <f t="shared" si="53"/>
        <v>-15</v>
      </c>
      <c r="J404" s="11">
        <v>1</v>
      </c>
      <c r="K404" s="11">
        <f t="shared" si="54"/>
        <v>1</v>
      </c>
      <c r="L404" s="11" t="str">
        <f>'DA - 54'!H48</f>
        <v xml:space="preserve">Aerobar Bolts: Top 25mm; Bottom 30mm </v>
      </c>
    </row>
    <row r="405" spans="1:12" x14ac:dyDescent="0.25">
      <c r="A405" s="11">
        <f>'DA - 54'!C49</f>
        <v>485</v>
      </c>
      <c r="B405" s="11">
        <f>'DA - 54'!D49</f>
        <v>455</v>
      </c>
      <c r="C405" s="11">
        <f>'DA - 54'!E49</f>
        <v>535</v>
      </c>
      <c r="D405" s="11">
        <f>'DA - 54'!G49</f>
        <v>620</v>
      </c>
      <c r="E405" s="11" t="str">
        <f>'DA - 54'!B49</f>
        <v>Frame: 54 ----- Stem: 100x30  ----- Carbon Aerobar + 30</v>
      </c>
      <c r="F405" s="11">
        <f t="shared" si="50"/>
        <v>1</v>
      </c>
      <c r="G405" s="11">
        <f t="shared" si="51"/>
        <v>1</v>
      </c>
      <c r="H405" s="11" t="str">
        <f t="shared" si="52"/>
        <v/>
      </c>
      <c r="I405" s="11">
        <f t="shared" si="53"/>
        <v>-15</v>
      </c>
      <c r="J405" s="11">
        <v>1</v>
      </c>
      <c r="K405" s="11">
        <f t="shared" si="54"/>
        <v>1</v>
      </c>
      <c r="L405" s="11" t="str">
        <f>'DA - 54'!H49</f>
        <v xml:space="preserve">Aerobar Bolts: Top 25mm; Bottom 30mm </v>
      </c>
    </row>
    <row r="406" spans="1:12" x14ac:dyDescent="0.25">
      <c r="A406" s="11">
        <f>'DA - 54'!C50</f>
        <v>485</v>
      </c>
      <c r="B406" s="11">
        <f>'DA - 54'!D50</f>
        <v>455</v>
      </c>
      <c r="C406" s="11">
        <f>'DA - 54'!E50</f>
        <v>535</v>
      </c>
      <c r="D406" s="11">
        <f>'DA - 54'!G50</f>
        <v>620</v>
      </c>
      <c r="E406" s="11" t="str">
        <f>'DA - 54'!B50</f>
        <v>Frame: 54 ----- Stem: 100x30  ----- Carbon Aerobar + 20 + bridge + 5</v>
      </c>
      <c r="F406" s="11">
        <f t="shared" si="50"/>
        <v>1</v>
      </c>
      <c r="G406" s="11" t="str">
        <f t="shared" si="51"/>
        <v/>
      </c>
      <c r="H406" s="11" t="str">
        <f t="shared" si="52"/>
        <v/>
      </c>
      <c r="I406" s="11">
        <f t="shared" si="53"/>
        <v>-15</v>
      </c>
      <c r="J406" s="11">
        <v>1</v>
      </c>
      <c r="K406" s="11">
        <f t="shared" si="54"/>
        <v>1</v>
      </c>
      <c r="L406" s="11" t="str">
        <f>'DA - 54'!H50</f>
        <v xml:space="preserve">Aerobar Bolts: Top 30mm; Bottom 30mm </v>
      </c>
    </row>
    <row r="407" spans="1:12" x14ac:dyDescent="0.25">
      <c r="A407" s="11">
        <f>'DA - 54'!C51</f>
        <v>485</v>
      </c>
      <c r="B407" s="11">
        <f>'DA - 54'!D51</f>
        <v>455</v>
      </c>
      <c r="C407" s="11">
        <f>'DA - 54'!E51</f>
        <v>535</v>
      </c>
      <c r="D407" s="11">
        <f>'DA - 54'!G51</f>
        <v>625</v>
      </c>
      <c r="E407" s="11" t="str">
        <f>'DA - 54'!B51</f>
        <v>Frame: 54 ----- Stem: 100x30  ----- Carbon Aerobar + 30 + bridge</v>
      </c>
      <c r="F407" s="11">
        <f t="shared" si="50"/>
        <v>1</v>
      </c>
      <c r="G407" s="11">
        <f t="shared" si="51"/>
        <v>1</v>
      </c>
      <c r="H407" s="11" t="str">
        <f t="shared" si="52"/>
        <v/>
      </c>
      <c r="I407" s="11">
        <f t="shared" si="53"/>
        <v>-15</v>
      </c>
      <c r="J407" s="11">
        <v>1</v>
      </c>
      <c r="K407" s="11">
        <f t="shared" si="54"/>
        <v>1</v>
      </c>
      <c r="L407" s="11" t="str">
        <f>'DA - 54'!H51</f>
        <v xml:space="preserve">Aerobar Bolts: Top 30mm; Bottom 30mm </v>
      </c>
    </row>
    <row r="408" spans="1:12" x14ac:dyDescent="0.25">
      <c r="A408" s="11">
        <f>'DA - 54'!C52</f>
        <v>485</v>
      </c>
      <c r="B408" s="11">
        <f>'DA - 54'!D52</f>
        <v>455</v>
      </c>
      <c r="C408" s="11">
        <f>'DA - 54'!E52</f>
        <v>535</v>
      </c>
      <c r="D408" s="11">
        <f>'DA - 54'!G52</f>
        <v>630</v>
      </c>
      <c r="E408" s="11" t="str">
        <f>'DA - 54'!B52</f>
        <v>Frame: 54 ----- Stem: 100x30  ----- Carbon Aerobar + 30 + bridge + 5</v>
      </c>
      <c r="F408" s="11">
        <f t="shared" si="50"/>
        <v>1</v>
      </c>
      <c r="G408" s="11">
        <f t="shared" si="51"/>
        <v>1</v>
      </c>
      <c r="H408" s="11" t="str">
        <f t="shared" si="52"/>
        <v/>
      </c>
      <c r="I408" s="11">
        <f t="shared" si="53"/>
        <v>-15</v>
      </c>
      <c r="J408" s="11">
        <v>1</v>
      </c>
      <c r="K408" s="11">
        <f t="shared" si="54"/>
        <v>1</v>
      </c>
      <c r="L408" s="11" t="str">
        <f>'DA - 54'!H52</f>
        <v xml:space="preserve">Aerobar Bolts: Top 35mm; Bottom 30mm </v>
      </c>
    </row>
    <row r="409" spans="1:12" x14ac:dyDescent="0.25">
      <c r="A409" s="11">
        <f>'DA - 54'!C53</f>
        <v>485</v>
      </c>
      <c r="B409" s="11">
        <f>'DA - 54'!D53</f>
        <v>455</v>
      </c>
      <c r="C409" s="11">
        <f>'DA - 54'!E53</f>
        <v>535</v>
      </c>
      <c r="D409" s="11">
        <f>'DA - 54'!G53</f>
        <v>635</v>
      </c>
      <c r="E409" s="11" t="str">
        <f>'DA - 54'!B53</f>
        <v>Frame: 54 ----- Stem: 100x30  ----- Carbon Aerobar + 40 + bridge</v>
      </c>
      <c r="F409" s="11">
        <f t="shared" si="50"/>
        <v>1</v>
      </c>
      <c r="G409" s="11" t="str">
        <f t="shared" si="51"/>
        <v/>
      </c>
      <c r="H409" s="11">
        <f t="shared" si="52"/>
        <v>1</v>
      </c>
      <c r="I409" s="11">
        <f t="shared" si="53"/>
        <v>-15</v>
      </c>
      <c r="J409" s="11">
        <v>1</v>
      </c>
      <c r="K409" s="11">
        <f t="shared" si="54"/>
        <v>1</v>
      </c>
      <c r="L409" s="11" t="str">
        <f>'DA - 54'!H53</f>
        <v xml:space="preserve">Aerobar Bolts: Top 35mm; Bottom 30mm </v>
      </c>
    </row>
    <row r="410" spans="1:12" x14ac:dyDescent="0.25">
      <c r="A410" s="11">
        <f>'DA - 54'!C54</f>
        <v>485</v>
      </c>
      <c r="B410" s="11">
        <f>'DA - 54'!D54</f>
        <v>455</v>
      </c>
      <c r="C410" s="11">
        <f>'DA - 54'!E54</f>
        <v>535</v>
      </c>
      <c r="D410" s="11">
        <f>'DA - 54'!G54</f>
        <v>640</v>
      </c>
      <c r="E410" s="11" t="str">
        <f>'DA - 54'!B54</f>
        <v>Frame: 54 ----- Stem: 100x30  ----- Carbon Aerobar + 40 + bridge + 5</v>
      </c>
      <c r="F410" s="11">
        <f t="shared" si="50"/>
        <v>1</v>
      </c>
      <c r="G410" s="11" t="str">
        <f t="shared" si="51"/>
        <v/>
      </c>
      <c r="H410" s="11">
        <f t="shared" si="52"/>
        <v>1</v>
      </c>
      <c r="I410" s="11">
        <f t="shared" si="53"/>
        <v>-15</v>
      </c>
      <c r="J410" s="11">
        <v>1</v>
      </c>
      <c r="K410" s="11">
        <f t="shared" si="54"/>
        <v>1</v>
      </c>
      <c r="L410" s="11" t="str">
        <f>'DA - 54'!H54</f>
        <v xml:space="preserve">Aerobar Bolts: Top 35mm; Bottom 30mm </v>
      </c>
    </row>
    <row r="411" spans="1:12" x14ac:dyDescent="0.25">
      <c r="A411" s="11">
        <f>'DA - 54'!C55</f>
        <v>485</v>
      </c>
      <c r="B411" s="11">
        <f>'DA - 54'!D55</f>
        <v>455</v>
      </c>
      <c r="C411" s="11">
        <f>'DA - 54'!E55</f>
        <v>535</v>
      </c>
      <c r="D411" s="11">
        <f>'DA - 54'!G55</f>
        <v>645</v>
      </c>
      <c r="E411" s="11" t="str">
        <f>'DA - 54'!B55</f>
        <v>Frame: 54 ----- Stem: 100x30  ----- Carbon Aerobar + 40 + bridge + 10</v>
      </c>
      <c r="F411" s="11">
        <f t="shared" si="50"/>
        <v>1</v>
      </c>
      <c r="G411" s="11" t="str">
        <f t="shared" si="51"/>
        <v/>
      </c>
      <c r="H411" s="11">
        <f t="shared" si="52"/>
        <v>1</v>
      </c>
      <c r="I411" s="11">
        <f t="shared" si="53"/>
        <v>-15</v>
      </c>
      <c r="J411" s="11">
        <v>1</v>
      </c>
      <c r="K411" s="11">
        <f t="shared" si="54"/>
        <v>1</v>
      </c>
      <c r="L411" s="11" t="str">
        <f>'DA - 54'!H55</f>
        <v xml:space="preserve">Aerobar Bolts: Top 40mm; Bottom 30mm </v>
      </c>
    </row>
    <row r="412" spans="1:12" x14ac:dyDescent="0.25">
      <c r="A412" s="11">
        <f>'DA - 54'!C56</f>
        <v>485</v>
      </c>
      <c r="B412" s="11">
        <f>'DA - 54'!D56</f>
        <v>455</v>
      </c>
      <c r="C412" s="11">
        <f>'DA - 54'!E56</f>
        <v>535</v>
      </c>
      <c r="D412" s="11">
        <f>'DA - 54'!G56</f>
        <v>650</v>
      </c>
      <c r="E412" s="11" t="str">
        <f>'DA - 54'!B56</f>
        <v>Frame: 54 ----- Stem: 100x30  ----- Carbon Aerobar + 40 + bridge + 10 + 5</v>
      </c>
      <c r="F412" s="11">
        <f t="shared" si="50"/>
        <v>1</v>
      </c>
      <c r="G412" s="11" t="str">
        <f t="shared" si="51"/>
        <v/>
      </c>
      <c r="H412" s="11">
        <f t="shared" si="52"/>
        <v>1</v>
      </c>
      <c r="I412" s="11">
        <f t="shared" si="53"/>
        <v>-15</v>
      </c>
      <c r="J412" s="11">
        <v>1</v>
      </c>
      <c r="K412" s="11">
        <f t="shared" si="54"/>
        <v>1</v>
      </c>
      <c r="L412" s="11" t="str">
        <f>'DA - 54'!H56</f>
        <v xml:space="preserve">Aerobar Bolts: Top 45mm; Bottom 30mm </v>
      </c>
    </row>
    <row r="413" spans="1:12" x14ac:dyDescent="0.25">
      <c r="A413" s="11">
        <f>'DA - 54'!C57</f>
        <v>475</v>
      </c>
      <c r="B413" s="11">
        <f>'DA - 54'!D57</f>
        <v>445</v>
      </c>
      <c r="C413" s="11">
        <f>'DA - 54'!E57</f>
        <v>525</v>
      </c>
      <c r="D413" s="11">
        <f>'DA - 54'!G57</f>
        <v>0</v>
      </c>
      <c r="E413" s="11" t="str">
        <f>'DA - 54'!B57</f>
        <v>Frame: 54 ----- Stem: 100x60  ----- Carbon Aerobar</v>
      </c>
      <c r="F413" s="11">
        <f t="shared" si="50"/>
        <v>1</v>
      </c>
      <c r="G413" s="11" t="str">
        <f t="shared" si="51"/>
        <v/>
      </c>
      <c r="H413" s="11" t="str">
        <f t="shared" si="52"/>
        <v/>
      </c>
      <c r="I413" s="11">
        <f t="shared" si="53"/>
        <v>-5</v>
      </c>
      <c r="J413" s="11">
        <v>1</v>
      </c>
      <c r="K413" s="11">
        <f t="shared" si="54"/>
        <v>1</v>
      </c>
      <c r="L413" s="11" t="str">
        <f>'DA - 54'!H57</f>
        <v xml:space="preserve">Aerobar Bolts: Top N/A; Bottom N/A </v>
      </c>
    </row>
    <row r="414" spans="1:12" x14ac:dyDescent="0.25">
      <c r="A414" s="11">
        <f>'DA - 54'!C58</f>
        <v>475</v>
      </c>
      <c r="B414" s="11">
        <f>'DA - 54'!D58</f>
        <v>445</v>
      </c>
      <c r="C414" s="11">
        <f>'DA - 54'!E58</f>
        <v>525</v>
      </c>
      <c r="D414" s="11">
        <f>'DA - 54'!G58</f>
        <v>625</v>
      </c>
      <c r="E414" s="11" t="str">
        <f>'DA - 54'!B58</f>
        <v>Frame: 54 ----- Stem: 100x60  ----- Carbon Aerobar + 5</v>
      </c>
      <c r="F414" s="11">
        <f t="shared" si="50"/>
        <v>1</v>
      </c>
      <c r="G414" s="11" t="str">
        <f t="shared" si="51"/>
        <v/>
      </c>
      <c r="H414" s="11" t="str">
        <f t="shared" si="52"/>
        <v/>
      </c>
      <c r="I414" s="11">
        <f t="shared" si="53"/>
        <v>-5</v>
      </c>
      <c r="J414" s="11">
        <v>1</v>
      </c>
      <c r="K414" s="11">
        <f t="shared" si="54"/>
        <v>1</v>
      </c>
      <c r="L414" s="11" t="str">
        <f>'DA - 54'!H58</f>
        <v xml:space="preserve">Aerobar Bolts: Top 45mm; Bottom N/A </v>
      </c>
    </row>
    <row r="415" spans="1:12" x14ac:dyDescent="0.25">
      <c r="A415" s="11">
        <f>'DA - 54'!C59</f>
        <v>475</v>
      </c>
      <c r="B415" s="11">
        <f>'DA - 54'!D59</f>
        <v>445</v>
      </c>
      <c r="C415" s="11">
        <f>'DA - 54'!E59</f>
        <v>525</v>
      </c>
      <c r="D415" s="11">
        <f>'DA - 54'!G59</f>
        <v>630</v>
      </c>
      <c r="E415" s="11" t="str">
        <f>'DA - 54'!B59</f>
        <v>Frame: 54 ----- Stem: 100x60  ----- Carbon Aerobar + 10</v>
      </c>
      <c r="F415" s="11">
        <f t="shared" si="50"/>
        <v>1</v>
      </c>
      <c r="G415" s="11" t="str">
        <f t="shared" si="51"/>
        <v/>
      </c>
      <c r="H415" s="11" t="str">
        <f t="shared" si="52"/>
        <v/>
      </c>
      <c r="I415" s="11">
        <f t="shared" si="53"/>
        <v>-5</v>
      </c>
      <c r="J415" s="11">
        <v>1</v>
      </c>
      <c r="K415" s="11">
        <f t="shared" si="54"/>
        <v>1</v>
      </c>
      <c r="L415" s="11" t="str">
        <f>'DA - 54'!H59</f>
        <v xml:space="preserve">Aerobar Bolts: Top 50mm; Bottom N/A </v>
      </c>
    </row>
    <row r="416" spans="1:12" x14ac:dyDescent="0.25">
      <c r="A416" s="11">
        <f>'DA - 54'!C60</f>
        <v>475</v>
      </c>
      <c r="B416" s="11">
        <f>'DA - 54'!D60</f>
        <v>445</v>
      </c>
      <c r="C416" s="11">
        <f>'DA - 54'!E60</f>
        <v>525</v>
      </c>
      <c r="D416" s="11">
        <f>'DA - 54'!G60</f>
        <v>635</v>
      </c>
      <c r="E416" s="11" t="str">
        <f>'DA - 54'!B60</f>
        <v>Frame: 54 ----- Stem: 100x60  ----- Carbon Aerobar + 5 + 10</v>
      </c>
      <c r="F416" s="11">
        <f t="shared" si="50"/>
        <v>1</v>
      </c>
      <c r="G416" s="11" t="str">
        <f t="shared" si="51"/>
        <v/>
      </c>
      <c r="H416" s="11" t="str">
        <f t="shared" si="52"/>
        <v/>
      </c>
      <c r="I416" s="11">
        <f t="shared" si="53"/>
        <v>-5</v>
      </c>
      <c r="J416" s="11">
        <v>1</v>
      </c>
      <c r="K416" s="11">
        <f t="shared" si="54"/>
        <v>1</v>
      </c>
      <c r="L416" s="11" t="str">
        <f>'DA - 54'!H60</f>
        <v xml:space="preserve">Aerobar Bolts: Top 55mm; Bottom N/A </v>
      </c>
    </row>
    <row r="417" spans="1:12" x14ac:dyDescent="0.25">
      <c r="A417" s="11">
        <f>'DA - 54'!C61</f>
        <v>475</v>
      </c>
      <c r="B417" s="11">
        <f>'DA - 54'!D61</f>
        <v>445</v>
      </c>
      <c r="C417" s="11">
        <f>'DA - 54'!E61</f>
        <v>525</v>
      </c>
      <c r="D417" s="11">
        <f>'DA - 54'!G61</f>
        <v>640</v>
      </c>
      <c r="E417" s="11" t="str">
        <f>'DA - 54'!B61</f>
        <v>Frame: 54 ----- Stem: 100x60  ----- Carbon Aerobar + 20</v>
      </c>
      <c r="F417" s="11">
        <f t="shared" si="50"/>
        <v>1</v>
      </c>
      <c r="G417" s="11" t="str">
        <f t="shared" si="51"/>
        <v/>
      </c>
      <c r="H417" s="11" t="str">
        <f t="shared" si="52"/>
        <v/>
      </c>
      <c r="I417" s="11">
        <f t="shared" si="53"/>
        <v>-5</v>
      </c>
      <c r="J417" s="11">
        <v>1</v>
      </c>
      <c r="K417" s="11">
        <f t="shared" si="54"/>
        <v>1</v>
      </c>
      <c r="L417" s="11" t="str">
        <f>'DA - 54'!H61</f>
        <v xml:space="preserve">Aerobar Bolts: Top 20mm; Bottom 30mm </v>
      </c>
    </row>
    <row r="418" spans="1:12" x14ac:dyDescent="0.25">
      <c r="A418" s="11">
        <f>'DA - 54'!C62</f>
        <v>475</v>
      </c>
      <c r="B418" s="11">
        <f>'DA - 54'!D62</f>
        <v>445</v>
      </c>
      <c r="C418" s="11">
        <f>'DA - 54'!E62</f>
        <v>525</v>
      </c>
      <c r="D418" s="11">
        <f>'DA - 54'!G62</f>
        <v>645</v>
      </c>
      <c r="E418" s="11" t="str">
        <f>'DA - 54'!B62</f>
        <v>Frame: 54 ----- Stem: 100x60  ----- Carbon Aerobar + 20 + 5</v>
      </c>
      <c r="F418" s="11">
        <f t="shared" si="50"/>
        <v>1</v>
      </c>
      <c r="G418" s="11" t="str">
        <f t="shared" si="51"/>
        <v/>
      </c>
      <c r="H418" s="11" t="str">
        <f t="shared" si="52"/>
        <v/>
      </c>
      <c r="I418" s="11">
        <f t="shared" si="53"/>
        <v>-5</v>
      </c>
      <c r="J418" s="11">
        <v>1</v>
      </c>
      <c r="K418" s="11">
        <f t="shared" si="54"/>
        <v>1</v>
      </c>
      <c r="L418" s="11" t="str">
        <f>'DA - 54'!H62</f>
        <v xml:space="preserve">Aerobar Bolts: Top 25mm; Bottom 30mm </v>
      </c>
    </row>
    <row r="419" spans="1:12" x14ac:dyDescent="0.25">
      <c r="A419" s="11">
        <f>'DA - 54'!C63</f>
        <v>475</v>
      </c>
      <c r="B419" s="11">
        <f>'DA - 54'!D63</f>
        <v>445</v>
      </c>
      <c r="C419" s="11">
        <f>'DA - 54'!E63</f>
        <v>525</v>
      </c>
      <c r="D419" s="11">
        <f>'DA - 54'!G63</f>
        <v>645</v>
      </c>
      <c r="E419" s="11" t="str">
        <f>'DA - 54'!B63</f>
        <v>Frame: 54 ----- Stem: 100x60  ----- Carbon Aerobar + 20 + bridge</v>
      </c>
      <c r="F419" s="11">
        <f t="shared" si="50"/>
        <v>1</v>
      </c>
      <c r="G419" s="11" t="str">
        <f t="shared" si="51"/>
        <v/>
      </c>
      <c r="H419" s="11" t="str">
        <f t="shared" si="52"/>
        <v/>
      </c>
      <c r="I419" s="11">
        <f t="shared" si="53"/>
        <v>-5</v>
      </c>
      <c r="J419" s="11">
        <v>1</v>
      </c>
      <c r="K419" s="11">
        <f t="shared" si="54"/>
        <v>1</v>
      </c>
      <c r="L419" s="11" t="str">
        <f>'DA - 54'!H63</f>
        <v xml:space="preserve">Aerobar Bolts: Top 25mm; Bottom 30mm </v>
      </c>
    </row>
    <row r="420" spans="1:12" x14ac:dyDescent="0.25">
      <c r="A420" s="11">
        <f>'DA - 54'!C64</f>
        <v>475</v>
      </c>
      <c r="B420" s="11">
        <f>'DA - 54'!D64</f>
        <v>445</v>
      </c>
      <c r="C420" s="11">
        <f>'DA - 54'!E64</f>
        <v>525</v>
      </c>
      <c r="D420" s="11">
        <f>'DA - 54'!G64</f>
        <v>650</v>
      </c>
      <c r="E420" s="11" t="str">
        <f>'DA - 54'!B64</f>
        <v>Frame: 54 ----- Stem: 100x60  ----- Carbon Aerobar + 30</v>
      </c>
      <c r="F420" s="11">
        <f t="shared" si="50"/>
        <v>1</v>
      </c>
      <c r="G420" s="11">
        <f t="shared" si="51"/>
        <v>1</v>
      </c>
      <c r="H420" s="11" t="str">
        <f t="shared" si="52"/>
        <v/>
      </c>
      <c r="I420" s="11">
        <f t="shared" si="53"/>
        <v>-5</v>
      </c>
      <c r="J420" s="11">
        <v>1</v>
      </c>
      <c r="K420" s="11">
        <f t="shared" si="54"/>
        <v>1</v>
      </c>
      <c r="L420" s="11" t="str">
        <f>'DA - 54'!H64</f>
        <v xml:space="preserve">Aerobar Bolts: Top 25mm; Bottom 30mm </v>
      </c>
    </row>
    <row r="421" spans="1:12" x14ac:dyDescent="0.25">
      <c r="A421" s="11">
        <f>'DA - 54'!C65</f>
        <v>475</v>
      </c>
      <c r="B421" s="11">
        <f>'DA - 54'!D65</f>
        <v>445</v>
      </c>
      <c r="C421" s="11">
        <f>'DA - 54'!E65</f>
        <v>525</v>
      </c>
      <c r="D421" s="11">
        <f>'DA - 54'!G65</f>
        <v>650</v>
      </c>
      <c r="E421" s="11" t="str">
        <f>'DA - 54'!B65</f>
        <v>Frame: 54 ----- Stem: 100x60  ----- Carbon Aerobar + 20 + bridge + 5</v>
      </c>
      <c r="F421" s="11">
        <f t="shared" si="50"/>
        <v>1</v>
      </c>
      <c r="G421" s="11" t="str">
        <f t="shared" si="51"/>
        <v/>
      </c>
      <c r="H421" s="11" t="str">
        <f t="shared" si="52"/>
        <v/>
      </c>
      <c r="I421" s="11">
        <f t="shared" si="53"/>
        <v>-5</v>
      </c>
      <c r="J421" s="11">
        <v>1</v>
      </c>
      <c r="K421" s="11">
        <f t="shared" si="54"/>
        <v>1</v>
      </c>
      <c r="L421" s="11" t="str">
        <f>'DA - 54'!H65</f>
        <v xml:space="preserve">Aerobar Bolts: Top 30mm; Bottom 30mm </v>
      </c>
    </row>
    <row r="422" spans="1:12" x14ac:dyDescent="0.25">
      <c r="A422" s="11">
        <f>'DA - 54'!C66</f>
        <v>475</v>
      </c>
      <c r="B422" s="11">
        <f>'DA - 54'!D66</f>
        <v>445</v>
      </c>
      <c r="C422" s="11">
        <f>'DA - 54'!E66</f>
        <v>525</v>
      </c>
      <c r="D422" s="11">
        <f>'DA - 54'!G66</f>
        <v>655</v>
      </c>
      <c r="E422" s="11" t="str">
        <f>'DA - 54'!B66</f>
        <v>Frame: 54 ----- Stem: 100x60  ----- Carbon Aerobar + 30 + bridge</v>
      </c>
      <c r="F422" s="11">
        <f t="shared" si="50"/>
        <v>1</v>
      </c>
      <c r="G422" s="11">
        <f t="shared" si="51"/>
        <v>1</v>
      </c>
      <c r="H422" s="11" t="str">
        <f t="shared" si="52"/>
        <v/>
      </c>
      <c r="I422" s="11">
        <f t="shared" si="53"/>
        <v>-5</v>
      </c>
      <c r="J422" s="11">
        <v>1</v>
      </c>
      <c r="K422" s="11">
        <f t="shared" si="54"/>
        <v>1</v>
      </c>
      <c r="L422" s="11" t="str">
        <f>'DA - 54'!H66</f>
        <v xml:space="preserve">Aerobar Bolts: Top 30mm; Bottom 30mm </v>
      </c>
    </row>
    <row r="423" spans="1:12" x14ac:dyDescent="0.25">
      <c r="A423" s="11">
        <f>'DA - 54'!C67</f>
        <v>475</v>
      </c>
      <c r="B423" s="11">
        <f>'DA - 54'!D67</f>
        <v>445</v>
      </c>
      <c r="C423" s="11">
        <f>'DA - 54'!E67</f>
        <v>525</v>
      </c>
      <c r="D423" s="11">
        <f>'DA - 54'!G67</f>
        <v>660</v>
      </c>
      <c r="E423" s="11" t="str">
        <f>'DA - 54'!B67</f>
        <v>Frame: 54 ----- Stem: 100x60  ----- Carbon Aerobar + 30 + bridge + 5</v>
      </c>
      <c r="F423" s="11">
        <f t="shared" si="50"/>
        <v>1</v>
      </c>
      <c r="G423" s="11">
        <f t="shared" si="51"/>
        <v>1</v>
      </c>
      <c r="H423" s="11" t="str">
        <f t="shared" si="52"/>
        <v/>
      </c>
      <c r="I423" s="11">
        <f t="shared" si="53"/>
        <v>-5</v>
      </c>
      <c r="J423" s="11">
        <v>1</v>
      </c>
      <c r="K423" s="11">
        <f t="shared" si="54"/>
        <v>1</v>
      </c>
      <c r="L423" s="11" t="str">
        <f>'DA - 54'!H67</f>
        <v xml:space="preserve">Aerobar Bolts: Top 35mm; Bottom 30mm </v>
      </c>
    </row>
    <row r="424" spans="1:12" x14ac:dyDescent="0.25">
      <c r="A424" s="11">
        <f>'DA - 54'!C68</f>
        <v>475</v>
      </c>
      <c r="B424" s="11">
        <f>'DA - 54'!D68</f>
        <v>445</v>
      </c>
      <c r="C424" s="11">
        <f>'DA - 54'!E68</f>
        <v>525</v>
      </c>
      <c r="D424" s="11">
        <f>'DA - 54'!G68</f>
        <v>665</v>
      </c>
      <c r="E424" s="11" t="str">
        <f>'DA - 54'!B68</f>
        <v>Frame: 54 ----- Stem: 100x60  ----- Carbon Aerobar + 40 + bridge</v>
      </c>
      <c r="F424" s="11">
        <f t="shared" si="50"/>
        <v>1</v>
      </c>
      <c r="G424" s="11" t="str">
        <f t="shared" si="51"/>
        <v/>
      </c>
      <c r="H424" s="11">
        <f t="shared" si="52"/>
        <v>1</v>
      </c>
      <c r="I424" s="11">
        <f t="shared" si="53"/>
        <v>-5</v>
      </c>
      <c r="J424" s="11">
        <v>1</v>
      </c>
      <c r="K424" s="11">
        <f t="shared" si="54"/>
        <v>1</v>
      </c>
      <c r="L424" s="11" t="str">
        <f>'DA - 54'!H68</f>
        <v xml:space="preserve">Aerobar Bolts: Top 35mm; Bottom 30mm </v>
      </c>
    </row>
    <row r="425" spans="1:12" x14ac:dyDescent="0.25">
      <c r="A425" s="11">
        <f>'DA - 54'!C69</f>
        <v>475</v>
      </c>
      <c r="B425" s="11">
        <f>'DA - 54'!D69</f>
        <v>445</v>
      </c>
      <c r="C425" s="11">
        <f>'DA - 54'!E69</f>
        <v>525</v>
      </c>
      <c r="D425" s="11">
        <f>'DA - 54'!G69</f>
        <v>670</v>
      </c>
      <c r="E425" s="11" t="str">
        <f>'DA - 54'!B69</f>
        <v>Frame: 54 ----- Stem: 100x60  ----- Carbon Aerobar + 40 + bridge + 5</v>
      </c>
      <c r="F425" s="11">
        <f t="shared" si="50"/>
        <v>1</v>
      </c>
      <c r="G425" s="11" t="str">
        <f t="shared" si="51"/>
        <v/>
      </c>
      <c r="H425" s="11">
        <f t="shared" si="52"/>
        <v>1</v>
      </c>
      <c r="I425" s="11">
        <f t="shared" si="53"/>
        <v>-5</v>
      </c>
      <c r="J425" s="11">
        <v>1</v>
      </c>
      <c r="K425" s="11">
        <f t="shared" si="54"/>
        <v>1</v>
      </c>
      <c r="L425" s="11" t="str">
        <f>'DA - 54'!H69</f>
        <v xml:space="preserve">Aerobar Bolts: Top 35mm; Bottom 30mm </v>
      </c>
    </row>
    <row r="426" spans="1:12" x14ac:dyDescent="0.25">
      <c r="A426" s="11">
        <f>'DA - 54'!C70</f>
        <v>475</v>
      </c>
      <c r="B426" s="11">
        <f>'DA - 54'!D70</f>
        <v>445</v>
      </c>
      <c r="C426" s="11">
        <f>'DA - 54'!E70</f>
        <v>525</v>
      </c>
      <c r="D426" s="11">
        <f>'DA - 54'!G70</f>
        <v>675</v>
      </c>
      <c r="E426" s="11" t="str">
        <f>'DA - 54'!B70</f>
        <v>Frame: 54 ----- Stem: 100x60  ----- Carbon Aerobar + 40 + bridge + 10</v>
      </c>
      <c r="F426" s="11">
        <f t="shared" si="50"/>
        <v>1</v>
      </c>
      <c r="G426" s="11" t="str">
        <f t="shared" si="51"/>
        <v/>
      </c>
      <c r="H426" s="11">
        <f t="shared" si="52"/>
        <v>1</v>
      </c>
      <c r="I426" s="11">
        <f t="shared" si="53"/>
        <v>-5</v>
      </c>
      <c r="J426" s="11">
        <v>1</v>
      </c>
      <c r="K426" s="11">
        <f t="shared" si="54"/>
        <v>1</v>
      </c>
      <c r="L426" s="11" t="str">
        <f>'DA - 54'!H70</f>
        <v xml:space="preserve">Aerobar Bolts: Top 40mm; Bottom 30mm </v>
      </c>
    </row>
    <row r="427" spans="1:12" x14ac:dyDescent="0.25">
      <c r="A427" s="11">
        <f>'DA - 54'!C71</f>
        <v>475</v>
      </c>
      <c r="B427" s="11">
        <f>'DA - 54'!D71</f>
        <v>445</v>
      </c>
      <c r="C427" s="11">
        <f>'DA - 54'!E71</f>
        <v>525</v>
      </c>
      <c r="D427" s="11">
        <f>'DA - 54'!G71</f>
        <v>680</v>
      </c>
      <c r="E427" s="11" t="str">
        <f>'DA - 54'!B71</f>
        <v>Frame: 54 ----- Stem: 100x60  ----- Carbon Aerobar + 40 + bridge + 10 + 5</v>
      </c>
      <c r="F427" s="11">
        <f t="shared" si="50"/>
        <v>1</v>
      </c>
      <c r="G427" s="11" t="str">
        <f t="shared" si="51"/>
        <v/>
      </c>
      <c r="H427" s="11">
        <f t="shared" si="52"/>
        <v>1</v>
      </c>
      <c r="I427" s="11">
        <f t="shared" si="53"/>
        <v>-5</v>
      </c>
      <c r="J427" s="11">
        <v>1</v>
      </c>
      <c r="K427" s="11">
        <f t="shared" si="54"/>
        <v>1</v>
      </c>
      <c r="L427" s="11" t="str">
        <f>'DA - 54'!H71</f>
        <v xml:space="preserve">Aerobar Bolts: Top 45mm; Bottom 30mm </v>
      </c>
    </row>
    <row r="428" spans="1:12" x14ac:dyDescent="0.25">
      <c r="A428" s="11">
        <f>'DA - 54'!C72</f>
        <v>480</v>
      </c>
      <c r="B428" s="11">
        <f>'DA - 54'!D72</f>
        <v>450</v>
      </c>
      <c r="C428" s="11">
        <f>'DA - 54'!E72</f>
        <v>530</v>
      </c>
      <c r="D428" s="11">
        <f>'DA - 54'!G72</f>
        <v>0</v>
      </c>
      <c r="E428" s="11" t="str">
        <f>'DA - 54'!B72</f>
        <v>Frame: 54 ----- Stem: 90x0  ----- Carbon Aerobar</v>
      </c>
      <c r="F428" s="11">
        <f t="shared" si="50"/>
        <v>1</v>
      </c>
      <c r="G428" s="11" t="str">
        <f t="shared" si="51"/>
        <v/>
      </c>
      <c r="H428" s="11" t="str">
        <f t="shared" si="52"/>
        <v/>
      </c>
      <c r="I428" s="11">
        <f t="shared" si="53"/>
        <v>-10</v>
      </c>
      <c r="J428" s="11">
        <v>1</v>
      </c>
      <c r="K428" s="11">
        <f t="shared" si="54"/>
        <v>1</v>
      </c>
      <c r="L428" s="11" t="str">
        <f>'DA - 54'!H72</f>
        <v xml:space="preserve">Aerobar Bolts: Top N/A; Bottom N/A </v>
      </c>
    </row>
    <row r="429" spans="1:12" x14ac:dyDescent="0.25">
      <c r="A429" s="11">
        <f>'DA - 54'!C73</f>
        <v>480</v>
      </c>
      <c r="B429" s="11">
        <f>'DA - 54'!D73</f>
        <v>450</v>
      </c>
      <c r="C429" s="11">
        <f>'DA - 54'!E73</f>
        <v>530</v>
      </c>
      <c r="D429" s="11">
        <f>'DA - 54'!G73</f>
        <v>565</v>
      </c>
      <c r="E429" s="11" t="str">
        <f>'DA - 54'!B73</f>
        <v>Frame: 54 ----- Stem: 90x0  ----- Carbon Aerobar + 5</v>
      </c>
      <c r="F429" s="11">
        <f t="shared" si="50"/>
        <v>1</v>
      </c>
      <c r="G429" s="11" t="str">
        <f t="shared" si="51"/>
        <v/>
      </c>
      <c r="H429" s="11" t="str">
        <f t="shared" si="52"/>
        <v/>
      </c>
      <c r="I429" s="11">
        <f t="shared" si="53"/>
        <v>-10</v>
      </c>
      <c r="J429" s="11">
        <v>1</v>
      </c>
      <c r="K429" s="11">
        <f t="shared" si="54"/>
        <v>1</v>
      </c>
      <c r="L429" s="11" t="str">
        <f>'DA - 54'!H73</f>
        <v xml:space="preserve">Aerobar Bolts: Top 45mm; Bottom N/A </v>
      </c>
    </row>
    <row r="430" spans="1:12" x14ac:dyDescent="0.25">
      <c r="A430" s="11">
        <f>'DA - 54'!C74</f>
        <v>480</v>
      </c>
      <c r="B430" s="11">
        <f>'DA - 54'!D74</f>
        <v>450</v>
      </c>
      <c r="C430" s="11">
        <f>'DA - 54'!E74</f>
        <v>530</v>
      </c>
      <c r="D430" s="11">
        <f>'DA - 54'!G74</f>
        <v>570</v>
      </c>
      <c r="E430" s="11" t="str">
        <f>'DA - 54'!B74</f>
        <v>Frame: 54 ----- Stem: 90x0  ----- Carbon Aerobar + 10</v>
      </c>
      <c r="F430" s="11">
        <f t="shared" si="50"/>
        <v>1</v>
      </c>
      <c r="G430" s="11" t="str">
        <f t="shared" si="51"/>
        <v/>
      </c>
      <c r="H430" s="11" t="str">
        <f t="shared" si="52"/>
        <v/>
      </c>
      <c r="I430" s="11">
        <f t="shared" si="53"/>
        <v>-10</v>
      </c>
      <c r="J430" s="11">
        <v>1</v>
      </c>
      <c r="K430" s="11">
        <f t="shared" si="54"/>
        <v>1</v>
      </c>
      <c r="L430" s="11" t="str">
        <f>'DA - 54'!H74</f>
        <v xml:space="preserve">Aerobar Bolts: Top 50mm; Bottom N/A </v>
      </c>
    </row>
    <row r="431" spans="1:12" x14ac:dyDescent="0.25">
      <c r="A431" s="11">
        <f>'DA - 54'!C75</f>
        <v>480</v>
      </c>
      <c r="B431" s="11">
        <f>'DA - 54'!D75</f>
        <v>450</v>
      </c>
      <c r="C431" s="11">
        <f>'DA - 54'!E75</f>
        <v>530</v>
      </c>
      <c r="D431" s="11">
        <f>'DA - 54'!G75</f>
        <v>575</v>
      </c>
      <c r="E431" s="11" t="str">
        <f>'DA - 54'!B75</f>
        <v>Frame: 54 ----- Stem: 90x0  ----- Carbon Aerobar + 5 + 10</v>
      </c>
      <c r="F431" s="11">
        <f t="shared" si="50"/>
        <v>1</v>
      </c>
      <c r="G431" s="11" t="str">
        <f t="shared" si="51"/>
        <v/>
      </c>
      <c r="H431" s="11" t="str">
        <f t="shared" si="52"/>
        <v/>
      </c>
      <c r="I431" s="11">
        <f t="shared" si="53"/>
        <v>-10</v>
      </c>
      <c r="J431" s="11">
        <v>1</v>
      </c>
      <c r="K431" s="11">
        <f t="shared" si="54"/>
        <v>1</v>
      </c>
      <c r="L431" s="11" t="str">
        <f>'DA - 54'!H75</f>
        <v xml:space="preserve">Aerobar Bolts: Top 55mm; Bottom N/A </v>
      </c>
    </row>
    <row r="432" spans="1:12" x14ac:dyDescent="0.25">
      <c r="A432" s="11">
        <f>'DA - 54'!C76</f>
        <v>480</v>
      </c>
      <c r="B432" s="11">
        <f>'DA - 54'!D76</f>
        <v>450</v>
      </c>
      <c r="C432" s="11">
        <f>'DA - 54'!E76</f>
        <v>530</v>
      </c>
      <c r="D432" s="11">
        <f>'DA - 54'!G76</f>
        <v>580</v>
      </c>
      <c r="E432" s="11" t="str">
        <f>'DA - 54'!B76</f>
        <v>Frame: 54 ----- Stem: 90x0  ----- Carbon Aerobar + 20</v>
      </c>
      <c r="F432" s="11">
        <f t="shared" si="50"/>
        <v>1</v>
      </c>
      <c r="G432" s="11" t="str">
        <f t="shared" si="51"/>
        <v/>
      </c>
      <c r="H432" s="11" t="str">
        <f t="shared" si="52"/>
        <v/>
      </c>
      <c r="I432" s="11">
        <f t="shared" si="53"/>
        <v>-10</v>
      </c>
      <c r="J432" s="11">
        <v>1</v>
      </c>
      <c r="K432" s="11">
        <f t="shared" si="54"/>
        <v>1</v>
      </c>
      <c r="L432" s="11" t="str">
        <f>'DA - 54'!H76</f>
        <v xml:space="preserve">Aerobar Bolts: Top 20mm; Bottom 30mm </v>
      </c>
    </row>
    <row r="433" spans="1:12" x14ac:dyDescent="0.25">
      <c r="A433" s="11">
        <f>'DA - 54'!C77</f>
        <v>480</v>
      </c>
      <c r="B433" s="11">
        <f>'DA - 54'!D77</f>
        <v>450</v>
      </c>
      <c r="C433" s="11">
        <f>'DA - 54'!E77</f>
        <v>530</v>
      </c>
      <c r="D433" s="11">
        <f>'DA - 54'!G77</f>
        <v>585</v>
      </c>
      <c r="E433" s="11" t="str">
        <f>'DA - 54'!B77</f>
        <v>Frame: 54 ----- Stem: 90x0  ----- Carbon Aerobar + 20 + 5</v>
      </c>
      <c r="F433" s="11">
        <f t="shared" si="50"/>
        <v>1</v>
      </c>
      <c r="G433" s="11" t="str">
        <f t="shared" si="51"/>
        <v/>
      </c>
      <c r="H433" s="11" t="str">
        <f t="shared" si="52"/>
        <v/>
      </c>
      <c r="I433" s="11">
        <f t="shared" si="53"/>
        <v>-10</v>
      </c>
      <c r="J433" s="11">
        <v>1</v>
      </c>
      <c r="K433" s="11">
        <f t="shared" si="54"/>
        <v>1</v>
      </c>
      <c r="L433" s="11" t="str">
        <f>'DA - 54'!H77</f>
        <v xml:space="preserve">Aerobar Bolts: Top 25mm; Bottom 30mm </v>
      </c>
    </row>
    <row r="434" spans="1:12" x14ac:dyDescent="0.25">
      <c r="A434" s="11">
        <f>'DA - 54'!C78</f>
        <v>480</v>
      </c>
      <c r="B434" s="11">
        <f>'DA - 54'!D78</f>
        <v>450</v>
      </c>
      <c r="C434" s="11">
        <f>'DA - 54'!E78</f>
        <v>530</v>
      </c>
      <c r="D434" s="11">
        <f>'DA - 54'!G78</f>
        <v>585</v>
      </c>
      <c r="E434" s="11" t="str">
        <f>'DA - 54'!B78</f>
        <v>Frame: 54 ----- Stem: 90x0  ----- Carbon Aerobar + 20 + bridge</v>
      </c>
      <c r="F434" s="11">
        <f t="shared" si="50"/>
        <v>1</v>
      </c>
      <c r="G434" s="11" t="str">
        <f t="shared" si="51"/>
        <v/>
      </c>
      <c r="H434" s="11" t="str">
        <f t="shared" si="52"/>
        <v/>
      </c>
      <c r="I434" s="11">
        <f t="shared" si="53"/>
        <v>-10</v>
      </c>
      <c r="J434" s="11">
        <v>1</v>
      </c>
      <c r="K434" s="11">
        <f t="shared" si="54"/>
        <v>1</v>
      </c>
      <c r="L434" s="11" t="str">
        <f>'DA - 54'!H78</f>
        <v xml:space="preserve">Aerobar Bolts: Top 25mm; Bottom 30mm </v>
      </c>
    </row>
    <row r="435" spans="1:12" x14ac:dyDescent="0.25">
      <c r="A435" s="11">
        <f>'DA - 54'!C79</f>
        <v>480</v>
      </c>
      <c r="B435" s="11">
        <f>'DA - 54'!D79</f>
        <v>450</v>
      </c>
      <c r="C435" s="11">
        <f>'DA - 54'!E79</f>
        <v>530</v>
      </c>
      <c r="D435" s="11">
        <f>'DA - 54'!G79</f>
        <v>590</v>
      </c>
      <c r="E435" s="11" t="str">
        <f>'DA - 54'!B79</f>
        <v>Frame: 54 ----- Stem: 90x0  ----- Carbon Aerobar + 30</v>
      </c>
      <c r="F435" s="11">
        <f t="shared" si="50"/>
        <v>1</v>
      </c>
      <c r="G435" s="11">
        <f t="shared" si="51"/>
        <v>1</v>
      </c>
      <c r="H435" s="11" t="str">
        <f t="shared" si="52"/>
        <v/>
      </c>
      <c r="I435" s="11">
        <f t="shared" si="53"/>
        <v>-10</v>
      </c>
      <c r="J435" s="11">
        <v>1</v>
      </c>
      <c r="K435" s="11">
        <f t="shared" si="54"/>
        <v>1</v>
      </c>
      <c r="L435" s="11" t="str">
        <f>'DA - 54'!H79</f>
        <v xml:space="preserve">Aerobar Bolts: Top 25mm; Bottom 30mm </v>
      </c>
    </row>
    <row r="436" spans="1:12" x14ac:dyDescent="0.25">
      <c r="A436" s="11">
        <f>'DA - 54'!C80</f>
        <v>480</v>
      </c>
      <c r="B436" s="11">
        <f>'DA - 54'!D80</f>
        <v>450</v>
      </c>
      <c r="C436" s="11">
        <f>'DA - 54'!E80</f>
        <v>530</v>
      </c>
      <c r="D436" s="11">
        <f>'DA - 54'!G80</f>
        <v>590</v>
      </c>
      <c r="E436" s="11" t="str">
        <f>'DA - 54'!B80</f>
        <v>Frame: 54 ----- Stem: 90x0  ----- Carbon Aerobar + 20 + bridge + 5</v>
      </c>
      <c r="F436" s="11">
        <f t="shared" si="50"/>
        <v>1</v>
      </c>
      <c r="G436" s="11" t="str">
        <f t="shared" si="51"/>
        <v/>
      </c>
      <c r="H436" s="11" t="str">
        <f t="shared" si="52"/>
        <v/>
      </c>
      <c r="I436" s="11">
        <f t="shared" si="53"/>
        <v>-10</v>
      </c>
      <c r="J436" s="11">
        <v>1</v>
      </c>
      <c r="K436" s="11">
        <f t="shared" si="54"/>
        <v>1</v>
      </c>
      <c r="L436" s="11" t="str">
        <f>'DA - 54'!H80</f>
        <v xml:space="preserve">Aerobar Bolts: Top 30mm; Bottom 30mm </v>
      </c>
    </row>
    <row r="437" spans="1:12" x14ac:dyDescent="0.25">
      <c r="A437" s="11">
        <f>'DA - 54'!C81</f>
        <v>480</v>
      </c>
      <c r="B437" s="11">
        <f>'DA - 54'!D81</f>
        <v>450</v>
      </c>
      <c r="C437" s="11">
        <f>'DA - 54'!E81</f>
        <v>530</v>
      </c>
      <c r="D437" s="11">
        <f>'DA - 54'!G81</f>
        <v>595</v>
      </c>
      <c r="E437" s="11" t="str">
        <f>'DA - 54'!B81</f>
        <v>Frame: 54 ----- Stem: 90x0  ----- Carbon Aerobar + 30 + bridge</v>
      </c>
      <c r="F437" s="11">
        <f t="shared" si="50"/>
        <v>1</v>
      </c>
      <c r="G437" s="11">
        <f t="shared" si="51"/>
        <v>1</v>
      </c>
      <c r="H437" s="11" t="str">
        <f t="shared" si="52"/>
        <v/>
      </c>
      <c r="I437" s="11">
        <f t="shared" si="53"/>
        <v>-10</v>
      </c>
      <c r="J437" s="11">
        <v>1</v>
      </c>
      <c r="K437" s="11">
        <f t="shared" si="54"/>
        <v>1</v>
      </c>
      <c r="L437" s="11" t="str">
        <f>'DA - 54'!H81</f>
        <v xml:space="preserve">Aerobar Bolts: Top 30mm; Bottom 30mm </v>
      </c>
    </row>
    <row r="438" spans="1:12" x14ac:dyDescent="0.25">
      <c r="A438" s="11">
        <f>'DA - 54'!C82</f>
        <v>480</v>
      </c>
      <c r="B438" s="11">
        <f>'DA - 54'!D82</f>
        <v>450</v>
      </c>
      <c r="C438" s="11">
        <f>'DA - 54'!E82</f>
        <v>530</v>
      </c>
      <c r="D438" s="11">
        <f>'DA - 54'!G82</f>
        <v>600</v>
      </c>
      <c r="E438" s="11" t="str">
        <f>'DA - 54'!B82</f>
        <v>Frame: 54 ----- Stem: 90x0  ----- Carbon Aerobar + 30 + bridge + 5</v>
      </c>
      <c r="F438" s="11">
        <f t="shared" si="50"/>
        <v>1</v>
      </c>
      <c r="G438" s="11">
        <f t="shared" si="51"/>
        <v>1</v>
      </c>
      <c r="H438" s="11" t="str">
        <f t="shared" si="52"/>
        <v/>
      </c>
      <c r="I438" s="11">
        <f t="shared" si="53"/>
        <v>-10</v>
      </c>
      <c r="J438" s="11">
        <v>1</v>
      </c>
      <c r="K438" s="11">
        <f t="shared" si="54"/>
        <v>1</v>
      </c>
      <c r="L438" s="11" t="str">
        <f>'DA - 54'!H82</f>
        <v xml:space="preserve">Aerobar Bolts: Top 35mm; Bottom 30mm </v>
      </c>
    </row>
    <row r="439" spans="1:12" x14ac:dyDescent="0.25">
      <c r="A439" s="11">
        <f>'DA - 54'!C83</f>
        <v>480</v>
      </c>
      <c r="B439" s="11">
        <f>'DA - 54'!D83</f>
        <v>450</v>
      </c>
      <c r="C439" s="11">
        <f>'DA - 54'!E83</f>
        <v>530</v>
      </c>
      <c r="D439" s="11">
        <f>'DA - 54'!G83</f>
        <v>605</v>
      </c>
      <c r="E439" s="11" t="str">
        <f>'DA - 54'!B83</f>
        <v>Frame: 54 ----- Stem: 90x0  ----- Carbon Aerobar + 40 + bridge</v>
      </c>
      <c r="F439" s="11">
        <f t="shared" si="50"/>
        <v>1</v>
      </c>
      <c r="G439" s="11" t="str">
        <f t="shared" si="51"/>
        <v/>
      </c>
      <c r="H439" s="11">
        <f t="shared" si="52"/>
        <v>1</v>
      </c>
      <c r="I439" s="11">
        <f t="shared" si="53"/>
        <v>-10</v>
      </c>
      <c r="J439" s="11">
        <v>1</v>
      </c>
      <c r="K439" s="11">
        <f t="shared" si="54"/>
        <v>1</v>
      </c>
      <c r="L439" s="11" t="str">
        <f>'DA - 54'!H83</f>
        <v xml:space="preserve">Aerobar Bolts: Top 35mm; Bottom 30mm </v>
      </c>
    </row>
    <row r="440" spans="1:12" x14ac:dyDescent="0.25">
      <c r="A440" s="11">
        <f>'DA - 54'!C84</f>
        <v>480</v>
      </c>
      <c r="B440" s="11">
        <f>'DA - 54'!D84</f>
        <v>450</v>
      </c>
      <c r="C440" s="11">
        <f>'DA - 54'!E84</f>
        <v>530</v>
      </c>
      <c r="D440" s="11">
        <f>'DA - 54'!G84</f>
        <v>610</v>
      </c>
      <c r="E440" s="11" t="str">
        <f>'DA - 54'!B84</f>
        <v>Frame: 54 ----- Stem: 90x0  ----- Carbon Aerobar + 40 + bridge + 5</v>
      </c>
      <c r="F440" s="11">
        <f t="shared" si="50"/>
        <v>1</v>
      </c>
      <c r="G440" s="11" t="str">
        <f t="shared" si="51"/>
        <v/>
      </c>
      <c r="H440" s="11">
        <f t="shared" si="52"/>
        <v>1</v>
      </c>
      <c r="I440" s="11">
        <f t="shared" si="53"/>
        <v>-10</v>
      </c>
      <c r="J440" s="11">
        <v>1</v>
      </c>
      <c r="K440" s="11">
        <f t="shared" si="54"/>
        <v>1</v>
      </c>
      <c r="L440" s="11" t="str">
        <f>'DA - 54'!H84</f>
        <v xml:space="preserve">Aerobar Bolts: Top 35mm; Bottom 30mm </v>
      </c>
    </row>
    <row r="441" spans="1:12" x14ac:dyDescent="0.25">
      <c r="A441" s="11">
        <f>'DA - 54'!C85</f>
        <v>480</v>
      </c>
      <c r="B441" s="11">
        <f>'DA - 54'!D85</f>
        <v>450</v>
      </c>
      <c r="C441" s="11">
        <f>'DA - 54'!E85</f>
        <v>530</v>
      </c>
      <c r="D441" s="11">
        <f>'DA - 54'!G85</f>
        <v>615</v>
      </c>
      <c r="E441" s="11" t="str">
        <f>'DA - 54'!B85</f>
        <v>Frame: 54 ----- Stem: 90x0  ----- Carbon Aerobar + 40 + bridge + 10</v>
      </c>
      <c r="F441" s="11">
        <f t="shared" si="50"/>
        <v>1</v>
      </c>
      <c r="G441" s="11" t="str">
        <f t="shared" si="51"/>
        <v/>
      </c>
      <c r="H441" s="11">
        <f t="shared" si="52"/>
        <v>1</v>
      </c>
      <c r="I441" s="11">
        <f t="shared" si="53"/>
        <v>-10</v>
      </c>
      <c r="J441" s="11">
        <v>1</v>
      </c>
      <c r="K441" s="11">
        <f t="shared" si="54"/>
        <v>1</v>
      </c>
      <c r="L441" s="11" t="str">
        <f>'DA - 54'!H85</f>
        <v xml:space="preserve">Aerobar Bolts: Top 40mm; Bottom 30mm </v>
      </c>
    </row>
    <row r="442" spans="1:12" x14ac:dyDescent="0.25">
      <c r="A442" s="11">
        <f>'DA - 54'!C86</f>
        <v>480</v>
      </c>
      <c r="B442" s="11">
        <f>'DA - 54'!D86</f>
        <v>450</v>
      </c>
      <c r="C442" s="11">
        <f>'DA - 54'!E86</f>
        <v>530</v>
      </c>
      <c r="D442" s="11">
        <f>'DA - 54'!G86</f>
        <v>620</v>
      </c>
      <c r="E442" s="11" t="str">
        <f>'DA - 54'!B86</f>
        <v>Frame: 54 ----- Stem: 90x0  ----- Carbon Aerobar + 40 + bridge + 10 + 5</v>
      </c>
      <c r="F442" s="11">
        <f t="shared" si="50"/>
        <v>1</v>
      </c>
      <c r="G442" s="11" t="str">
        <f t="shared" si="51"/>
        <v/>
      </c>
      <c r="H442" s="11">
        <f t="shared" si="52"/>
        <v>1</v>
      </c>
      <c r="I442" s="11">
        <f t="shared" si="53"/>
        <v>-10</v>
      </c>
      <c r="J442" s="11">
        <v>1</v>
      </c>
      <c r="K442" s="11">
        <f t="shared" si="54"/>
        <v>1</v>
      </c>
      <c r="L442" s="11" t="str">
        <f>'DA - 54'!H86</f>
        <v xml:space="preserve">Aerobar Bolts: Top 45mm; Bottom 30mm </v>
      </c>
    </row>
    <row r="443" spans="1:12" x14ac:dyDescent="0.25">
      <c r="A443" s="11">
        <f>'DA - 54'!C87</f>
        <v>500</v>
      </c>
      <c r="B443" s="11">
        <f>'DA - 54'!D87</f>
        <v>470</v>
      </c>
      <c r="C443" s="11">
        <f>'DA - 54'!E87</f>
        <v>550</v>
      </c>
      <c r="D443" s="11">
        <f>'DA - 54'!G87</f>
        <v>0</v>
      </c>
      <c r="E443" s="11" t="str">
        <f>'DA - 54'!B87</f>
        <v>Frame: 54 ----- Stem: 110x0  ----- Carbon Aerobar</v>
      </c>
      <c r="F443" s="11">
        <f t="shared" si="50"/>
        <v>1</v>
      </c>
      <c r="G443" s="11" t="str">
        <f t="shared" si="51"/>
        <v/>
      </c>
      <c r="H443" s="11" t="str">
        <f t="shared" si="52"/>
        <v/>
      </c>
      <c r="I443" s="11">
        <f t="shared" si="53"/>
        <v>-30</v>
      </c>
      <c r="J443" s="11">
        <v>1</v>
      </c>
      <c r="K443" s="11">
        <f t="shared" si="54"/>
        <v>1</v>
      </c>
      <c r="L443" s="11" t="str">
        <f>'DA - 54'!H87</f>
        <v xml:space="preserve">Aerobar Bolts: Top N/A; Bottom N/A </v>
      </c>
    </row>
    <row r="444" spans="1:12" x14ac:dyDescent="0.25">
      <c r="A444" s="11">
        <f>'DA - 54'!C88</f>
        <v>500</v>
      </c>
      <c r="B444" s="11">
        <f>'DA - 54'!D88</f>
        <v>470</v>
      </c>
      <c r="C444" s="11">
        <f>'DA - 54'!E88</f>
        <v>550</v>
      </c>
      <c r="D444" s="11">
        <f>'DA - 54'!G88</f>
        <v>565</v>
      </c>
      <c r="E444" s="11" t="str">
        <f>'DA - 54'!B88</f>
        <v>Frame: 54 ----- Stem: 110x0  ----- Carbon Aerobar + 5</v>
      </c>
      <c r="F444" s="11">
        <f t="shared" si="50"/>
        <v>1</v>
      </c>
      <c r="G444" s="11" t="str">
        <f t="shared" si="51"/>
        <v/>
      </c>
      <c r="H444" s="11" t="str">
        <f t="shared" si="52"/>
        <v/>
      </c>
      <c r="I444" s="11">
        <f t="shared" si="53"/>
        <v>-30</v>
      </c>
      <c r="J444" s="11">
        <v>1</v>
      </c>
      <c r="K444" s="11">
        <f t="shared" si="54"/>
        <v>1</v>
      </c>
      <c r="L444" s="11" t="str">
        <f>'DA - 54'!H88</f>
        <v xml:space="preserve">Aerobar Bolts: Top 45mm; Bottom N/A </v>
      </c>
    </row>
    <row r="445" spans="1:12" x14ac:dyDescent="0.25">
      <c r="A445" s="11">
        <f>'DA - 54'!C89</f>
        <v>500</v>
      </c>
      <c r="B445" s="11">
        <f>'DA - 54'!D89</f>
        <v>470</v>
      </c>
      <c r="C445" s="11">
        <f>'DA - 54'!E89</f>
        <v>550</v>
      </c>
      <c r="D445" s="11">
        <f>'DA - 54'!G89</f>
        <v>570</v>
      </c>
      <c r="E445" s="11" t="str">
        <f>'DA - 54'!B89</f>
        <v>Frame: 54 ----- Stem: 110x0  ----- Carbon Aerobar + 10</v>
      </c>
      <c r="F445" s="11">
        <f t="shared" si="50"/>
        <v>1</v>
      </c>
      <c r="G445" s="11" t="str">
        <f t="shared" si="51"/>
        <v/>
      </c>
      <c r="H445" s="11" t="str">
        <f t="shared" si="52"/>
        <v/>
      </c>
      <c r="I445" s="11">
        <f t="shared" si="53"/>
        <v>-30</v>
      </c>
      <c r="J445" s="11">
        <v>1</v>
      </c>
      <c r="K445" s="11">
        <f t="shared" si="54"/>
        <v>1</v>
      </c>
      <c r="L445" s="11" t="str">
        <f>'DA - 54'!H89</f>
        <v xml:space="preserve">Aerobar Bolts: Top 50mm; Bottom N/A </v>
      </c>
    </row>
    <row r="446" spans="1:12" x14ac:dyDescent="0.25">
      <c r="A446" s="11">
        <f>'DA - 54'!C90</f>
        <v>500</v>
      </c>
      <c r="B446" s="11">
        <f>'DA - 54'!D90</f>
        <v>470</v>
      </c>
      <c r="C446" s="11">
        <f>'DA - 54'!E90</f>
        <v>550</v>
      </c>
      <c r="D446" s="11">
        <f>'DA - 54'!G90</f>
        <v>575</v>
      </c>
      <c r="E446" s="11" t="str">
        <f>'DA - 54'!B90</f>
        <v>Frame: 54 ----- Stem: 110x0  ----- Carbon Aerobar + 5 + 10</v>
      </c>
      <c r="F446" s="11">
        <f t="shared" si="50"/>
        <v>1</v>
      </c>
      <c r="G446" s="11" t="str">
        <f t="shared" si="51"/>
        <v/>
      </c>
      <c r="H446" s="11" t="str">
        <f t="shared" si="52"/>
        <v/>
      </c>
      <c r="I446" s="11">
        <f t="shared" si="53"/>
        <v>-30</v>
      </c>
      <c r="J446" s="11">
        <v>1</v>
      </c>
      <c r="K446" s="11">
        <f t="shared" si="54"/>
        <v>1</v>
      </c>
      <c r="L446" s="11" t="str">
        <f>'DA - 54'!H90</f>
        <v xml:space="preserve">Aerobar Bolts: Top 55mm; Bottom N/A </v>
      </c>
    </row>
    <row r="447" spans="1:12" x14ac:dyDescent="0.25">
      <c r="A447" s="11">
        <f>'DA - 54'!C91</f>
        <v>500</v>
      </c>
      <c r="B447" s="11">
        <f>'DA - 54'!D91</f>
        <v>470</v>
      </c>
      <c r="C447" s="11">
        <f>'DA - 54'!E91</f>
        <v>550</v>
      </c>
      <c r="D447" s="11">
        <f>'DA - 54'!G91</f>
        <v>580</v>
      </c>
      <c r="E447" s="11" t="str">
        <f>'DA - 54'!B91</f>
        <v>Frame: 54 ----- Stem: 110x0  ----- Carbon Aerobar + 20</v>
      </c>
      <c r="F447" s="11">
        <f t="shared" si="50"/>
        <v>1</v>
      </c>
      <c r="G447" s="11" t="str">
        <f t="shared" si="51"/>
        <v/>
      </c>
      <c r="H447" s="11" t="str">
        <f t="shared" si="52"/>
        <v/>
      </c>
      <c r="I447" s="11">
        <f t="shared" si="53"/>
        <v>-30</v>
      </c>
      <c r="J447" s="11">
        <v>1</v>
      </c>
      <c r="K447" s="11">
        <f t="shared" si="54"/>
        <v>1</v>
      </c>
      <c r="L447" s="11" t="str">
        <f>'DA - 54'!H91</f>
        <v xml:space="preserve">Aerobar Bolts: Top 20mm; Bottom 30mm </v>
      </c>
    </row>
    <row r="448" spans="1:12" x14ac:dyDescent="0.25">
      <c r="A448" s="11">
        <f>'DA - 54'!C92</f>
        <v>500</v>
      </c>
      <c r="B448" s="11">
        <f>'DA - 54'!D92</f>
        <v>470</v>
      </c>
      <c r="C448" s="11">
        <f>'DA - 54'!E92</f>
        <v>550</v>
      </c>
      <c r="D448" s="11">
        <f>'DA - 54'!G92</f>
        <v>585</v>
      </c>
      <c r="E448" s="11" t="str">
        <f>'DA - 54'!B92</f>
        <v>Frame: 54 ----- Stem: 110x0  ----- Carbon Aerobar + 20 + 5</v>
      </c>
      <c r="F448" s="11">
        <f t="shared" si="50"/>
        <v>1</v>
      </c>
      <c r="G448" s="11" t="str">
        <f t="shared" si="51"/>
        <v/>
      </c>
      <c r="H448" s="11" t="str">
        <f t="shared" si="52"/>
        <v/>
      </c>
      <c r="I448" s="11">
        <f t="shared" si="53"/>
        <v>-30</v>
      </c>
      <c r="J448" s="11">
        <v>1</v>
      </c>
      <c r="K448" s="11">
        <f t="shared" si="54"/>
        <v>1</v>
      </c>
      <c r="L448" s="11" t="str">
        <f>'DA - 54'!H92</f>
        <v xml:space="preserve">Aerobar Bolts: Top 25mm; Bottom 30mm </v>
      </c>
    </row>
    <row r="449" spans="1:12" x14ac:dyDescent="0.25">
      <c r="A449" s="11">
        <f>'DA - 54'!C93</f>
        <v>500</v>
      </c>
      <c r="B449" s="11">
        <f>'DA - 54'!D93</f>
        <v>470</v>
      </c>
      <c r="C449" s="11">
        <f>'DA - 54'!E93</f>
        <v>550</v>
      </c>
      <c r="D449" s="11">
        <f>'DA - 54'!G93</f>
        <v>585</v>
      </c>
      <c r="E449" s="11" t="str">
        <f>'DA - 54'!B93</f>
        <v>Frame: 54 ----- Stem: 110x0  ----- Carbon Aerobar + 20 + bridge</v>
      </c>
      <c r="F449" s="11">
        <f t="shared" ref="F449:F512" si="55">IF(AND($F$5&gt;=B449,$F$5&lt;=C449),1,"")</f>
        <v>1</v>
      </c>
      <c r="G449" s="11" t="str">
        <f t="shared" si="51"/>
        <v/>
      </c>
      <c r="H449" s="11" t="str">
        <f t="shared" si="52"/>
        <v/>
      </c>
      <c r="I449" s="11">
        <f t="shared" si="53"/>
        <v>-30</v>
      </c>
      <c r="J449" s="11">
        <v>1</v>
      </c>
      <c r="K449" s="11">
        <f t="shared" si="54"/>
        <v>1</v>
      </c>
      <c r="L449" s="11" t="str">
        <f>'DA - 54'!H93</f>
        <v xml:space="preserve">Aerobar Bolts: Top 25mm; Bottom 30mm </v>
      </c>
    </row>
    <row r="450" spans="1:12" x14ac:dyDescent="0.25">
      <c r="A450" s="11">
        <f>'DA - 54'!C94</f>
        <v>500</v>
      </c>
      <c r="B450" s="11">
        <f>'DA - 54'!D94</f>
        <v>470</v>
      </c>
      <c r="C450" s="11">
        <f>'DA - 54'!E94</f>
        <v>550</v>
      </c>
      <c r="D450" s="11">
        <f>'DA - 54'!G94</f>
        <v>590</v>
      </c>
      <c r="E450" s="11" t="str">
        <f>'DA - 54'!B94</f>
        <v>Frame: 54 ----- Stem: 110x0  ----- Carbon Aerobar + 30</v>
      </c>
      <c r="F450" s="11">
        <f t="shared" si="55"/>
        <v>1</v>
      </c>
      <c r="G450" s="11">
        <f t="shared" si="51"/>
        <v>1</v>
      </c>
      <c r="H450" s="11" t="str">
        <f t="shared" si="52"/>
        <v/>
      </c>
      <c r="I450" s="11">
        <f t="shared" si="53"/>
        <v>-30</v>
      </c>
      <c r="J450" s="11">
        <v>1</v>
      </c>
      <c r="K450" s="11">
        <f t="shared" si="54"/>
        <v>1</v>
      </c>
      <c r="L450" s="11" t="str">
        <f>'DA - 54'!H94</f>
        <v xml:space="preserve">Aerobar Bolts: Top 25mm; Bottom 30mm </v>
      </c>
    </row>
    <row r="451" spans="1:12" x14ac:dyDescent="0.25">
      <c r="A451" s="11">
        <f>'DA - 54'!C95</f>
        <v>500</v>
      </c>
      <c r="B451" s="11">
        <f>'DA - 54'!D95</f>
        <v>470</v>
      </c>
      <c r="C451" s="11">
        <f>'DA - 54'!E95</f>
        <v>550</v>
      </c>
      <c r="D451" s="11">
        <f>'DA - 54'!G95</f>
        <v>590</v>
      </c>
      <c r="E451" s="11" t="str">
        <f>'DA - 54'!B95</f>
        <v>Frame: 54 ----- Stem: 110x0  ----- Carbon Aerobar + 20 + bridge + 5</v>
      </c>
      <c r="F451" s="11">
        <f t="shared" si="55"/>
        <v>1</v>
      </c>
      <c r="G451" s="11" t="str">
        <f t="shared" si="51"/>
        <v/>
      </c>
      <c r="H451" s="11" t="str">
        <f t="shared" si="52"/>
        <v/>
      </c>
      <c r="I451" s="11">
        <f t="shared" si="53"/>
        <v>-30</v>
      </c>
      <c r="J451" s="11">
        <v>1</v>
      </c>
      <c r="K451" s="11">
        <f t="shared" si="54"/>
        <v>1</v>
      </c>
      <c r="L451" s="11" t="str">
        <f>'DA - 54'!H95</f>
        <v xml:space="preserve">Aerobar Bolts: Top 30mm; Bottom 30mm </v>
      </c>
    </row>
    <row r="452" spans="1:12" x14ac:dyDescent="0.25">
      <c r="A452" s="11">
        <f>'DA - 54'!C96</f>
        <v>500</v>
      </c>
      <c r="B452" s="11">
        <f>'DA - 54'!D96</f>
        <v>470</v>
      </c>
      <c r="C452" s="11">
        <f>'DA - 54'!E96</f>
        <v>550</v>
      </c>
      <c r="D452" s="11">
        <f>'DA - 54'!G96</f>
        <v>595</v>
      </c>
      <c r="E452" s="11" t="str">
        <f>'DA - 54'!B96</f>
        <v>Frame: 54 ----- Stem: 110x0  ----- Carbon Aerobar + 30 + bridge</v>
      </c>
      <c r="F452" s="11">
        <f t="shared" si="55"/>
        <v>1</v>
      </c>
      <c r="G452" s="11">
        <f t="shared" si="51"/>
        <v>1</v>
      </c>
      <c r="H452" s="11" t="str">
        <f t="shared" si="52"/>
        <v/>
      </c>
      <c r="I452" s="11">
        <f t="shared" si="53"/>
        <v>-30</v>
      </c>
      <c r="J452" s="11">
        <v>1</v>
      </c>
      <c r="K452" s="11">
        <f t="shared" si="54"/>
        <v>1</v>
      </c>
      <c r="L452" s="11" t="str">
        <f>'DA - 54'!H96</f>
        <v xml:space="preserve">Aerobar Bolts: Top 30mm; Bottom 30mm </v>
      </c>
    </row>
    <row r="453" spans="1:12" x14ac:dyDescent="0.25">
      <c r="A453" s="11">
        <f>'DA - 54'!C97</f>
        <v>500</v>
      </c>
      <c r="B453" s="11">
        <f>'DA - 54'!D97</f>
        <v>470</v>
      </c>
      <c r="C453" s="11">
        <f>'DA - 54'!E97</f>
        <v>550</v>
      </c>
      <c r="D453" s="11">
        <f>'DA - 54'!G97</f>
        <v>600</v>
      </c>
      <c r="E453" s="11" t="str">
        <f>'DA - 54'!B97</f>
        <v>Frame: 54 ----- Stem: 110x0  ----- Carbon Aerobar + 30 + bridge + 5</v>
      </c>
      <c r="F453" s="11">
        <f t="shared" si="55"/>
        <v>1</v>
      </c>
      <c r="G453" s="11">
        <f t="shared" si="51"/>
        <v>1</v>
      </c>
      <c r="H453" s="11" t="str">
        <f t="shared" si="52"/>
        <v/>
      </c>
      <c r="I453" s="11">
        <f t="shared" si="53"/>
        <v>-30</v>
      </c>
      <c r="J453" s="11">
        <v>1</v>
      </c>
      <c r="K453" s="11">
        <f t="shared" si="54"/>
        <v>1</v>
      </c>
      <c r="L453" s="11" t="str">
        <f>'DA - 54'!H97</f>
        <v xml:space="preserve">Aerobar Bolts: Top 35mm; Bottom 30mm </v>
      </c>
    </row>
    <row r="454" spans="1:12" x14ac:dyDescent="0.25">
      <c r="A454" s="11">
        <f>'DA - 54'!C98</f>
        <v>500</v>
      </c>
      <c r="B454" s="11">
        <f>'DA - 54'!D98</f>
        <v>470</v>
      </c>
      <c r="C454" s="11">
        <f>'DA - 54'!E98</f>
        <v>550</v>
      </c>
      <c r="D454" s="11">
        <f>'DA - 54'!G98</f>
        <v>605</v>
      </c>
      <c r="E454" s="11" t="str">
        <f>'DA - 54'!B98</f>
        <v>Frame: 54 ----- Stem: 110x0  ----- Carbon Aerobar + 40 + bridge</v>
      </c>
      <c r="F454" s="11">
        <f t="shared" si="55"/>
        <v>1</v>
      </c>
      <c r="G454" s="11" t="str">
        <f t="shared" si="51"/>
        <v/>
      </c>
      <c r="H454" s="11">
        <f t="shared" si="52"/>
        <v>1</v>
      </c>
      <c r="I454" s="11">
        <f t="shared" si="53"/>
        <v>-30</v>
      </c>
      <c r="J454" s="11">
        <v>1</v>
      </c>
      <c r="K454" s="11">
        <f t="shared" si="54"/>
        <v>1</v>
      </c>
      <c r="L454" s="11" t="str">
        <f>'DA - 54'!H98</f>
        <v xml:space="preserve">Aerobar Bolts: Top 35mm; Bottom 30mm </v>
      </c>
    </row>
    <row r="455" spans="1:12" x14ac:dyDescent="0.25">
      <c r="A455" s="11">
        <f>'DA - 54'!C99</f>
        <v>500</v>
      </c>
      <c r="B455" s="11">
        <f>'DA - 54'!D99</f>
        <v>470</v>
      </c>
      <c r="C455" s="11">
        <f>'DA - 54'!E99</f>
        <v>550</v>
      </c>
      <c r="D455" s="11">
        <f>'DA - 54'!G99</f>
        <v>610</v>
      </c>
      <c r="E455" s="11" t="str">
        <f>'DA - 54'!B99</f>
        <v>Frame: 54 ----- Stem: 110x0  ----- Carbon Aerobar + 40 + bridge + 5</v>
      </c>
      <c r="F455" s="11">
        <f t="shared" si="55"/>
        <v>1</v>
      </c>
      <c r="G455" s="11" t="str">
        <f t="shared" si="51"/>
        <v/>
      </c>
      <c r="H455" s="11">
        <f t="shared" si="52"/>
        <v>1</v>
      </c>
      <c r="I455" s="11">
        <f t="shared" si="53"/>
        <v>-30</v>
      </c>
      <c r="J455" s="11">
        <v>1</v>
      </c>
      <c r="K455" s="11">
        <f t="shared" si="54"/>
        <v>1</v>
      </c>
      <c r="L455" s="11" t="str">
        <f>'DA - 54'!H99</f>
        <v xml:space="preserve">Aerobar Bolts: Top 35mm; Bottom 30mm </v>
      </c>
    </row>
    <row r="456" spans="1:12" x14ac:dyDescent="0.25">
      <c r="A456" s="11">
        <f>'DA - 54'!C100</f>
        <v>500</v>
      </c>
      <c r="B456" s="11">
        <f>'DA - 54'!D100</f>
        <v>470</v>
      </c>
      <c r="C456" s="11">
        <f>'DA - 54'!E100</f>
        <v>550</v>
      </c>
      <c r="D456" s="11">
        <f>'DA - 54'!G100</f>
        <v>615</v>
      </c>
      <c r="E456" s="11" t="str">
        <f>'DA - 54'!B100</f>
        <v>Frame: 54 ----- Stem: 110x0  ----- Carbon Aerobar + 40 + bridge + 10</v>
      </c>
      <c r="F456" s="11">
        <f t="shared" si="55"/>
        <v>1</v>
      </c>
      <c r="G456" s="11" t="str">
        <f t="shared" si="51"/>
        <v/>
      </c>
      <c r="H456" s="11">
        <f t="shared" si="52"/>
        <v>1</v>
      </c>
      <c r="I456" s="11">
        <f t="shared" si="53"/>
        <v>-30</v>
      </c>
      <c r="J456" s="11">
        <v>1</v>
      </c>
      <c r="K456" s="11">
        <f t="shared" si="54"/>
        <v>1</v>
      </c>
      <c r="L456" s="11" t="str">
        <f>'DA - 54'!H100</f>
        <v xml:space="preserve">Aerobar Bolts: Top 40mm; Bottom 30mm </v>
      </c>
    </row>
    <row r="457" spans="1:12" x14ac:dyDescent="0.25">
      <c r="A457" s="11">
        <f>'DA - 54'!C101</f>
        <v>500</v>
      </c>
      <c r="B457" s="11">
        <f>'DA - 54'!D101</f>
        <v>470</v>
      </c>
      <c r="C457" s="11">
        <f>'DA - 54'!E101</f>
        <v>550</v>
      </c>
      <c r="D457" s="11">
        <f>'DA - 54'!G101</f>
        <v>620</v>
      </c>
      <c r="E457" s="11" t="str">
        <f>'DA - 54'!B101</f>
        <v>Frame: 54 ----- Stem: 110x0  ----- Carbon Aerobar + 40 + bridge + 10 + 5</v>
      </c>
      <c r="F457" s="11">
        <f t="shared" si="55"/>
        <v>1</v>
      </c>
      <c r="G457" s="11" t="str">
        <f t="shared" ref="G457:G520" si="56">IF(ISNUMBER(FIND(" 30",E457)),1,"")</f>
        <v/>
      </c>
      <c r="H457" s="11">
        <f t="shared" ref="H457:H520" si="57">IF(ISNUMBER(FIND(" 40",E457)),1,"")</f>
        <v>1</v>
      </c>
      <c r="I457" s="11">
        <f t="shared" ref="I457:I520" si="58">$F$5-A457</f>
        <v>-30</v>
      </c>
      <c r="J457" s="11">
        <v>1</v>
      </c>
      <c r="K457" s="11">
        <f t="shared" ref="K457:K520" si="59">IF(ISNUMBER(FIND(" 58",E457)),$AD$9,IF(ISNUMBER(FIND(" 56",E457)),$AD$8,IF(ISNUMBER(FIND(" 54",E457)),$AD$7,IF(ISNUMBER(FIND(" 51",E457)),$AD$6,IF(ISNUMBER(FIND(" 47",E457)),$AD$5,"")))))</f>
        <v>1</v>
      </c>
      <c r="L457" s="11" t="str">
        <f>'DA - 54'!H101</f>
        <v xml:space="preserve">Aerobar Bolts: Top 45mm; Bottom 30mm </v>
      </c>
    </row>
    <row r="458" spans="1:12" x14ac:dyDescent="0.25">
      <c r="A458" s="11">
        <f>'DA - 54'!C102</f>
        <v>455</v>
      </c>
      <c r="B458" s="11">
        <f>'DA - 54'!D102</f>
        <v>425</v>
      </c>
      <c r="C458" s="11">
        <f>'DA - 54'!E102</f>
        <v>505</v>
      </c>
      <c r="D458" s="11">
        <f>'DA - 54'!G102</f>
        <v>605</v>
      </c>
      <c r="E458" s="11" t="str">
        <f>'DA - 54'!B102</f>
        <v>Frame: 54 ----- Stem: 70x30  ----- Aluminium Aerobar</v>
      </c>
      <c r="F458" s="11">
        <f t="shared" si="55"/>
        <v>1</v>
      </c>
      <c r="G458" s="11" t="str">
        <f t="shared" si="56"/>
        <v/>
      </c>
      <c r="H458" s="11" t="str">
        <f t="shared" si="57"/>
        <v/>
      </c>
      <c r="I458" s="11">
        <f t="shared" si="58"/>
        <v>15</v>
      </c>
      <c r="J458" s="11">
        <v>1</v>
      </c>
      <c r="K458" s="11">
        <f t="shared" si="59"/>
        <v>1</v>
      </c>
      <c r="L458" s="11" t="str">
        <f>'DA - 54'!H102</f>
        <v xml:space="preserve">Aerobar Bolts: Top 20mm; Bottom N/A </v>
      </c>
    </row>
    <row r="459" spans="1:12" x14ac:dyDescent="0.25">
      <c r="A459" s="11">
        <f>'DA - 54'!C103</f>
        <v>455</v>
      </c>
      <c r="B459" s="11">
        <f>'DA - 54'!D103</f>
        <v>425</v>
      </c>
      <c r="C459" s="11">
        <f>'DA - 54'!E103</f>
        <v>505</v>
      </c>
      <c r="D459" s="11">
        <f>'DA - 54'!G103</f>
        <v>610</v>
      </c>
      <c r="E459" s="11" t="str">
        <f>'DA - 54'!B103</f>
        <v>Frame: 54 ----- Stem: 70x30  ----- Aluminium Aerobar + 5</v>
      </c>
      <c r="F459" s="11">
        <f t="shared" si="55"/>
        <v>1</v>
      </c>
      <c r="G459" s="11" t="str">
        <f t="shared" si="56"/>
        <v/>
      </c>
      <c r="H459" s="11" t="str">
        <f t="shared" si="57"/>
        <v/>
      </c>
      <c r="I459" s="11">
        <f t="shared" si="58"/>
        <v>15</v>
      </c>
      <c r="J459" s="11">
        <v>1</v>
      </c>
      <c r="K459" s="11">
        <f t="shared" si="59"/>
        <v>1</v>
      </c>
      <c r="L459" s="11" t="str">
        <f>'DA - 54'!H103</f>
        <v xml:space="preserve">Aerobar Bolts: Top 25mm; Bottom N/A </v>
      </c>
    </row>
    <row r="460" spans="1:12" x14ac:dyDescent="0.25">
      <c r="A460" s="11">
        <f>'DA - 54'!C104</f>
        <v>455</v>
      </c>
      <c r="B460" s="11">
        <f>'DA - 54'!D104</f>
        <v>425</v>
      </c>
      <c r="C460" s="11">
        <f>'DA - 54'!E104</f>
        <v>505</v>
      </c>
      <c r="D460" s="11">
        <f>'DA - 54'!G104</f>
        <v>615</v>
      </c>
      <c r="E460" s="11" t="str">
        <f>'DA - 54'!B104</f>
        <v>Frame: 54 ----- Stem: 70x30  ----- Aluminium Aerobar + 10</v>
      </c>
      <c r="F460" s="11">
        <f t="shared" si="55"/>
        <v>1</v>
      </c>
      <c r="G460" s="11" t="str">
        <f t="shared" si="56"/>
        <v/>
      </c>
      <c r="H460" s="11" t="str">
        <f t="shared" si="57"/>
        <v/>
      </c>
      <c r="I460" s="11">
        <f t="shared" si="58"/>
        <v>15</v>
      </c>
      <c r="J460" s="11">
        <v>1</v>
      </c>
      <c r="K460" s="11">
        <f t="shared" si="59"/>
        <v>1</v>
      </c>
      <c r="L460" s="11" t="str">
        <f>'DA - 54'!H104</f>
        <v xml:space="preserve">Aerobar Bolts: Top 30mm; Bottom N/A </v>
      </c>
    </row>
    <row r="461" spans="1:12" x14ac:dyDescent="0.25">
      <c r="A461" s="11">
        <f>'DA - 54'!C105</f>
        <v>455</v>
      </c>
      <c r="B461" s="11">
        <f>'DA - 54'!D105</f>
        <v>425</v>
      </c>
      <c r="C461" s="11">
        <f>'DA - 54'!E105</f>
        <v>505</v>
      </c>
      <c r="D461" s="11">
        <f>'DA - 54'!G105</f>
        <v>620</v>
      </c>
      <c r="E461" s="11" t="str">
        <f>'DA - 54'!B105</f>
        <v>Frame: 54 ----- Stem: 70x30  ----- Aluminium Aerobar + 5 + 10</v>
      </c>
      <c r="F461" s="11">
        <f t="shared" si="55"/>
        <v>1</v>
      </c>
      <c r="G461" s="11" t="str">
        <f t="shared" si="56"/>
        <v/>
      </c>
      <c r="H461" s="11" t="str">
        <f t="shared" si="57"/>
        <v/>
      </c>
      <c r="I461" s="11">
        <f t="shared" si="58"/>
        <v>15</v>
      </c>
      <c r="J461" s="11">
        <v>1</v>
      </c>
      <c r="K461" s="11">
        <f t="shared" si="59"/>
        <v>1</v>
      </c>
      <c r="L461" s="11" t="str">
        <f>'DA - 54'!H105</f>
        <v xml:space="preserve">Aerobar Bolts: Top 35mm; Bottom N/A </v>
      </c>
    </row>
    <row r="462" spans="1:12" x14ac:dyDescent="0.25">
      <c r="A462" s="11">
        <f>'DA - 54'!C106</f>
        <v>455</v>
      </c>
      <c r="B462" s="11">
        <f>'DA - 54'!D106</f>
        <v>425</v>
      </c>
      <c r="C462" s="11">
        <f>'DA - 54'!E106</f>
        <v>505</v>
      </c>
      <c r="D462" s="11">
        <f>'DA - 54'!G106</f>
        <v>625</v>
      </c>
      <c r="E462" s="11" t="str">
        <f>'DA - 54'!B106</f>
        <v>Frame: 54 ----- Stem: 70x30  ----- Aluminium Aerobar + 20</v>
      </c>
      <c r="F462" s="11">
        <f t="shared" si="55"/>
        <v>1</v>
      </c>
      <c r="G462" s="11" t="str">
        <f t="shared" si="56"/>
        <v/>
      </c>
      <c r="H462" s="11" t="str">
        <f t="shared" si="57"/>
        <v/>
      </c>
      <c r="I462" s="11">
        <f t="shared" si="58"/>
        <v>15</v>
      </c>
      <c r="J462" s="11">
        <v>1</v>
      </c>
      <c r="K462" s="11">
        <f t="shared" si="59"/>
        <v>1</v>
      </c>
      <c r="L462" s="11" t="str">
        <f>'DA - 54'!H106</f>
        <v xml:space="preserve">Aerobar Bolts: Top 20mm; Bottom 15mm </v>
      </c>
    </row>
    <row r="463" spans="1:12" x14ac:dyDescent="0.25">
      <c r="A463" s="11">
        <f>'DA - 54'!C107</f>
        <v>455</v>
      </c>
      <c r="B463" s="11">
        <f>'DA - 54'!D107</f>
        <v>425</v>
      </c>
      <c r="C463" s="11">
        <f>'DA - 54'!E107</f>
        <v>505</v>
      </c>
      <c r="D463" s="11">
        <f>'DA - 54'!G107</f>
        <v>630</v>
      </c>
      <c r="E463" s="11" t="str">
        <f>'DA - 54'!B107</f>
        <v>Frame: 54 ----- Stem: 70x30  ----- Aluminium Aerobar + 20 + 5</v>
      </c>
      <c r="F463" s="11">
        <f t="shared" si="55"/>
        <v>1</v>
      </c>
      <c r="G463" s="11" t="str">
        <f t="shared" si="56"/>
        <v/>
      </c>
      <c r="H463" s="11" t="str">
        <f t="shared" si="57"/>
        <v/>
      </c>
      <c r="I463" s="11">
        <f t="shared" si="58"/>
        <v>15</v>
      </c>
      <c r="J463" s="11">
        <v>1</v>
      </c>
      <c r="K463" s="11">
        <f t="shared" si="59"/>
        <v>1</v>
      </c>
      <c r="L463" s="11" t="str">
        <f>'DA - 54'!H107</f>
        <v xml:space="preserve">Aerobar Bolts: Top 25mm; Bottom 15mm </v>
      </c>
    </row>
    <row r="464" spans="1:12" x14ac:dyDescent="0.25">
      <c r="A464" s="11">
        <f>'DA - 54'!C108</f>
        <v>455</v>
      </c>
      <c r="B464" s="11">
        <f>'DA - 54'!D108</f>
        <v>425</v>
      </c>
      <c r="C464" s="11">
        <f>'DA - 54'!E108</f>
        <v>505</v>
      </c>
      <c r="D464" s="11">
        <f>'DA - 54'!G108</f>
        <v>630</v>
      </c>
      <c r="E464" s="11" t="str">
        <f>'DA - 54'!B108</f>
        <v>Frame: 54 ----- Stem: 70x30  ----- Aluminium Aerobar + 20 + bridge</v>
      </c>
      <c r="F464" s="11">
        <f t="shared" si="55"/>
        <v>1</v>
      </c>
      <c r="G464" s="11" t="str">
        <f t="shared" si="56"/>
        <v/>
      </c>
      <c r="H464" s="11" t="str">
        <f t="shared" si="57"/>
        <v/>
      </c>
      <c r="I464" s="11">
        <f t="shared" si="58"/>
        <v>15</v>
      </c>
      <c r="J464" s="11">
        <v>1</v>
      </c>
      <c r="K464" s="11">
        <f t="shared" si="59"/>
        <v>1</v>
      </c>
      <c r="L464" s="11" t="str">
        <f>'DA - 54'!H108</f>
        <v xml:space="preserve">Aerobar Bolts: Top 25mm; Bottom 15mm </v>
      </c>
    </row>
    <row r="465" spans="1:12" x14ac:dyDescent="0.25">
      <c r="A465" s="11">
        <f>'DA - 54'!C109</f>
        <v>455</v>
      </c>
      <c r="B465" s="11">
        <f>'DA - 54'!D109</f>
        <v>425</v>
      </c>
      <c r="C465" s="11">
        <f>'DA - 54'!E109</f>
        <v>505</v>
      </c>
      <c r="D465" s="11">
        <f>'DA - 54'!G109</f>
        <v>635</v>
      </c>
      <c r="E465" s="11" t="str">
        <f>'DA - 54'!B109</f>
        <v>Frame: 54 ----- Stem: 70x30  ----- Aluminium Aerobar + 30</v>
      </c>
      <c r="F465" s="11">
        <f t="shared" si="55"/>
        <v>1</v>
      </c>
      <c r="G465" s="11">
        <f t="shared" si="56"/>
        <v>1</v>
      </c>
      <c r="H465" s="11" t="str">
        <f t="shared" si="57"/>
        <v/>
      </c>
      <c r="I465" s="11">
        <f t="shared" si="58"/>
        <v>15</v>
      </c>
      <c r="J465" s="11">
        <v>1</v>
      </c>
      <c r="K465" s="11">
        <f t="shared" si="59"/>
        <v>1</v>
      </c>
      <c r="L465" s="11" t="str">
        <f>'DA - 54'!H109</f>
        <v xml:space="preserve">Aerobar Bolts: Top 25mm; Bottom 15mm </v>
      </c>
    </row>
    <row r="466" spans="1:12" x14ac:dyDescent="0.25">
      <c r="A466" s="11">
        <f>'DA - 54'!C110</f>
        <v>455</v>
      </c>
      <c r="B466" s="11">
        <f>'DA - 54'!D110</f>
        <v>425</v>
      </c>
      <c r="C466" s="11">
        <f>'DA - 54'!E110</f>
        <v>505</v>
      </c>
      <c r="D466" s="11">
        <f>'DA - 54'!G110</f>
        <v>635</v>
      </c>
      <c r="E466" s="11" t="str">
        <f>'DA - 54'!B110</f>
        <v>Frame: 54 ----- Stem: 70x30  ----- Aluminium Aerobar + 20 + bridge + 5</v>
      </c>
      <c r="F466" s="11">
        <f t="shared" si="55"/>
        <v>1</v>
      </c>
      <c r="G466" s="11" t="str">
        <f t="shared" si="56"/>
        <v/>
      </c>
      <c r="H466" s="11" t="str">
        <f t="shared" si="57"/>
        <v/>
      </c>
      <c r="I466" s="11">
        <f t="shared" si="58"/>
        <v>15</v>
      </c>
      <c r="J466" s="11">
        <v>1</v>
      </c>
      <c r="K466" s="11">
        <f t="shared" si="59"/>
        <v>1</v>
      </c>
      <c r="L466" s="11" t="str">
        <f>'DA - 54'!H110</f>
        <v xml:space="preserve">Aerobar Bolts: Top 25mm; Bottom 15mm </v>
      </c>
    </row>
    <row r="467" spans="1:12" x14ac:dyDescent="0.25">
      <c r="A467" s="11">
        <f>'DA - 54'!C111</f>
        <v>455</v>
      </c>
      <c r="B467" s="11">
        <f>'DA - 54'!D111</f>
        <v>425</v>
      </c>
      <c r="C467" s="11">
        <f>'DA - 54'!E111</f>
        <v>505</v>
      </c>
      <c r="D467" s="11">
        <f>'DA - 54'!G111</f>
        <v>640</v>
      </c>
      <c r="E467" s="11" t="str">
        <f>'DA - 54'!B111</f>
        <v>Frame: 54 ----- Stem: 70x30  ----- Aluminium Aerobar + 30 + bridge</v>
      </c>
      <c r="F467" s="11">
        <f t="shared" si="55"/>
        <v>1</v>
      </c>
      <c r="G467" s="11">
        <f t="shared" si="56"/>
        <v>1</v>
      </c>
      <c r="H467" s="11" t="str">
        <f t="shared" si="57"/>
        <v/>
      </c>
      <c r="I467" s="11">
        <f t="shared" si="58"/>
        <v>15</v>
      </c>
      <c r="J467" s="11">
        <v>1</v>
      </c>
      <c r="K467" s="11">
        <f t="shared" si="59"/>
        <v>1</v>
      </c>
      <c r="L467" s="11" t="str">
        <f>'DA - 54'!H111</f>
        <v xml:space="preserve">Aerobar Bolts: Top 30mm; Bottom 15mm </v>
      </c>
    </row>
    <row r="468" spans="1:12" x14ac:dyDescent="0.25">
      <c r="A468" s="11">
        <f>'DA - 54'!C112</f>
        <v>455</v>
      </c>
      <c r="B468" s="11">
        <f>'DA - 54'!D112</f>
        <v>425</v>
      </c>
      <c r="C468" s="11">
        <f>'DA - 54'!E112</f>
        <v>505</v>
      </c>
      <c r="D468" s="11">
        <f>'DA - 54'!G112</f>
        <v>645</v>
      </c>
      <c r="E468" s="11" t="str">
        <f>'DA - 54'!B112</f>
        <v>Frame: 54 ----- Stem: 70x30  ----- Aluminium Aerobar + 30 + bridge + 5</v>
      </c>
      <c r="F468" s="11">
        <f t="shared" si="55"/>
        <v>1</v>
      </c>
      <c r="G468" s="11">
        <f t="shared" si="56"/>
        <v>1</v>
      </c>
      <c r="H468" s="11" t="str">
        <f t="shared" si="57"/>
        <v/>
      </c>
      <c r="I468" s="11">
        <f t="shared" si="58"/>
        <v>15</v>
      </c>
      <c r="J468" s="11">
        <v>1</v>
      </c>
      <c r="K468" s="11">
        <f t="shared" si="59"/>
        <v>1</v>
      </c>
      <c r="L468" s="11" t="str">
        <f>'DA - 54'!H112</f>
        <v xml:space="preserve">Aerobar Bolts: Top 30mm; Bottom 15mm </v>
      </c>
    </row>
    <row r="469" spans="1:12" x14ac:dyDescent="0.25">
      <c r="A469" s="11">
        <f>'DA - 54'!C113</f>
        <v>455</v>
      </c>
      <c r="B469" s="11">
        <f>'DA - 54'!D113</f>
        <v>425</v>
      </c>
      <c r="C469" s="11">
        <f>'DA - 54'!E113</f>
        <v>505</v>
      </c>
      <c r="D469" s="11">
        <f>'DA - 54'!G113</f>
        <v>650</v>
      </c>
      <c r="E469" s="11" t="str">
        <f>'DA - 54'!B113</f>
        <v>Frame: 54 ----- Stem: 70x30  ----- Aluminium Aerobar + 40 + bridge</v>
      </c>
      <c r="F469" s="11">
        <f t="shared" si="55"/>
        <v>1</v>
      </c>
      <c r="G469" s="11" t="str">
        <f t="shared" si="56"/>
        <v/>
      </c>
      <c r="H469" s="11">
        <f t="shared" si="57"/>
        <v>1</v>
      </c>
      <c r="I469" s="11">
        <f t="shared" si="58"/>
        <v>15</v>
      </c>
      <c r="J469" s="11">
        <v>1</v>
      </c>
      <c r="K469" s="11">
        <f t="shared" si="59"/>
        <v>1</v>
      </c>
      <c r="L469" s="11" t="str">
        <f>'DA - 54'!H113</f>
        <v xml:space="preserve">Aerobar Bolts: Top 35mm; Bottom 15mm </v>
      </c>
    </row>
    <row r="470" spans="1:12" x14ac:dyDescent="0.25">
      <c r="A470" s="11">
        <f>'DA - 54'!C114</f>
        <v>455</v>
      </c>
      <c r="B470" s="11">
        <f>'DA - 54'!D114</f>
        <v>425</v>
      </c>
      <c r="C470" s="11">
        <f>'DA - 54'!E114</f>
        <v>505</v>
      </c>
      <c r="D470" s="11">
        <f>'DA - 54'!G114</f>
        <v>655</v>
      </c>
      <c r="E470" s="11" t="str">
        <f>'DA - 54'!B114</f>
        <v>Frame: 54 ----- Stem: 70x30  ----- Aluminium Aerobar + 40 + bridge + 5</v>
      </c>
      <c r="F470" s="11">
        <f t="shared" si="55"/>
        <v>1</v>
      </c>
      <c r="G470" s="11" t="str">
        <f t="shared" si="56"/>
        <v/>
      </c>
      <c r="H470" s="11">
        <f t="shared" si="57"/>
        <v>1</v>
      </c>
      <c r="I470" s="11">
        <f t="shared" si="58"/>
        <v>15</v>
      </c>
      <c r="J470" s="11">
        <v>1</v>
      </c>
      <c r="K470" s="11">
        <f t="shared" si="59"/>
        <v>1</v>
      </c>
      <c r="L470" s="11" t="str">
        <f>'DA - 54'!H114</f>
        <v xml:space="preserve">Aerobar Bolts: Top 35mm; Bottom 15mm </v>
      </c>
    </row>
    <row r="471" spans="1:12" x14ac:dyDescent="0.25">
      <c r="A471" s="11">
        <f>'DA - 54'!C115</f>
        <v>455</v>
      </c>
      <c r="B471" s="11">
        <f>'DA - 54'!D115</f>
        <v>425</v>
      </c>
      <c r="C471" s="11">
        <f>'DA - 54'!E115</f>
        <v>505</v>
      </c>
      <c r="D471" s="11">
        <f>'DA - 54'!G115</f>
        <v>660</v>
      </c>
      <c r="E471" s="11" t="str">
        <f>'DA - 54'!B115</f>
        <v>Frame: 54 ----- Stem: 70x30  ----- Aluminium Aerobar + 40 + bridge + 10</v>
      </c>
      <c r="F471" s="11">
        <f t="shared" si="55"/>
        <v>1</v>
      </c>
      <c r="G471" s="11" t="str">
        <f t="shared" si="56"/>
        <v/>
      </c>
      <c r="H471" s="11">
        <f t="shared" si="57"/>
        <v>1</v>
      </c>
      <c r="I471" s="11">
        <f t="shared" si="58"/>
        <v>15</v>
      </c>
      <c r="J471" s="11">
        <v>1</v>
      </c>
      <c r="K471" s="11">
        <f t="shared" si="59"/>
        <v>1</v>
      </c>
      <c r="L471" s="11" t="str">
        <f>'DA - 54'!H115</f>
        <v xml:space="preserve">Aerobar Bolts: Top 35mm; Bottom 15mm </v>
      </c>
    </row>
    <row r="472" spans="1:12" x14ac:dyDescent="0.25">
      <c r="A472" s="11">
        <f>'DA - 54'!C116</f>
        <v>455</v>
      </c>
      <c r="B472" s="11">
        <f>'DA - 54'!D116</f>
        <v>425</v>
      </c>
      <c r="C472" s="11">
        <f>'DA - 54'!E116</f>
        <v>505</v>
      </c>
      <c r="D472" s="11">
        <f>'DA - 54'!G116</f>
        <v>665</v>
      </c>
      <c r="E472" s="11" t="str">
        <f>'DA - 54'!B116</f>
        <v>Frame: 54 ----- Stem: 70x30  ----- Aluminium Aerobar + 40 + bridge + 10 + 5</v>
      </c>
      <c r="F472" s="11">
        <f t="shared" si="55"/>
        <v>1</v>
      </c>
      <c r="G472" s="11" t="str">
        <f t="shared" si="56"/>
        <v/>
      </c>
      <c r="H472" s="11">
        <f t="shared" si="57"/>
        <v>1</v>
      </c>
      <c r="I472" s="11">
        <f t="shared" si="58"/>
        <v>15</v>
      </c>
      <c r="J472" s="11">
        <v>1</v>
      </c>
      <c r="K472" s="11">
        <f t="shared" si="59"/>
        <v>1</v>
      </c>
      <c r="L472" s="11" t="str">
        <f>'DA - 54'!H116</f>
        <v xml:space="preserve">Aerobar Bolts: Top 35mm; Bottom 25mm </v>
      </c>
    </row>
    <row r="473" spans="1:12" x14ac:dyDescent="0.25">
      <c r="A473" s="11">
        <f>'DA - 54'!C117</f>
        <v>445</v>
      </c>
      <c r="B473" s="11">
        <f>'DA - 54'!D117</f>
        <v>415</v>
      </c>
      <c r="C473" s="11">
        <f>'DA - 54'!E117</f>
        <v>495</v>
      </c>
      <c r="D473" s="11">
        <f>'DA - 54'!G117</f>
        <v>635</v>
      </c>
      <c r="E473" s="11" t="str">
        <f>'DA - 54'!B117</f>
        <v>Frame: 54 ----- Stem: 70x60  ----- Aluminium Aerobar</v>
      </c>
      <c r="F473" s="11">
        <f t="shared" si="55"/>
        <v>1</v>
      </c>
      <c r="G473" s="11" t="str">
        <f t="shared" si="56"/>
        <v/>
      </c>
      <c r="H473" s="11" t="str">
        <f t="shared" si="57"/>
        <v/>
      </c>
      <c r="I473" s="11">
        <f t="shared" si="58"/>
        <v>25</v>
      </c>
      <c r="J473" s="11">
        <v>1</v>
      </c>
      <c r="K473" s="11">
        <f t="shared" si="59"/>
        <v>1</v>
      </c>
      <c r="L473" s="11" t="str">
        <f>'DA - 54'!H117</f>
        <v xml:space="preserve">Aerobar Bolts: Top 20mm; Bottom N/A </v>
      </c>
    </row>
    <row r="474" spans="1:12" x14ac:dyDescent="0.25">
      <c r="A474" s="11">
        <f>'DA - 54'!C118</f>
        <v>445</v>
      </c>
      <c r="B474" s="11">
        <f>'DA - 54'!D118</f>
        <v>415</v>
      </c>
      <c r="C474" s="11">
        <f>'DA - 54'!E118</f>
        <v>495</v>
      </c>
      <c r="D474" s="11">
        <f>'DA - 54'!G118</f>
        <v>640</v>
      </c>
      <c r="E474" s="11" t="str">
        <f>'DA - 54'!B118</f>
        <v>Frame: 54 ----- Stem: 70x60  ----- Aluminium Aerobar + 5</v>
      </c>
      <c r="F474" s="11">
        <f t="shared" si="55"/>
        <v>1</v>
      </c>
      <c r="G474" s="11" t="str">
        <f t="shared" si="56"/>
        <v/>
      </c>
      <c r="H474" s="11" t="str">
        <f t="shared" si="57"/>
        <v/>
      </c>
      <c r="I474" s="11">
        <f t="shared" si="58"/>
        <v>25</v>
      </c>
      <c r="J474" s="11">
        <v>1</v>
      </c>
      <c r="K474" s="11">
        <f t="shared" si="59"/>
        <v>1</v>
      </c>
      <c r="L474" s="11" t="str">
        <f>'DA - 54'!H118</f>
        <v xml:space="preserve">Aerobar Bolts: Top 25mm; Bottom N/A </v>
      </c>
    </row>
    <row r="475" spans="1:12" x14ac:dyDescent="0.25">
      <c r="A475" s="11">
        <f>'DA - 54'!C119</f>
        <v>445</v>
      </c>
      <c r="B475" s="11">
        <f>'DA - 54'!D119</f>
        <v>415</v>
      </c>
      <c r="C475" s="11">
        <f>'DA - 54'!E119</f>
        <v>495</v>
      </c>
      <c r="D475" s="11">
        <f>'DA - 54'!G119</f>
        <v>645</v>
      </c>
      <c r="E475" s="11" t="str">
        <f>'DA - 54'!B119</f>
        <v>Frame: 54 ----- Stem: 70x60  ----- Aluminium Aerobar + 10</v>
      </c>
      <c r="F475" s="11">
        <f t="shared" si="55"/>
        <v>1</v>
      </c>
      <c r="G475" s="11" t="str">
        <f t="shared" si="56"/>
        <v/>
      </c>
      <c r="H475" s="11" t="str">
        <f t="shared" si="57"/>
        <v/>
      </c>
      <c r="I475" s="11">
        <f t="shared" si="58"/>
        <v>25</v>
      </c>
      <c r="J475" s="11">
        <v>1</v>
      </c>
      <c r="K475" s="11">
        <f t="shared" si="59"/>
        <v>1</v>
      </c>
      <c r="L475" s="11" t="str">
        <f>'DA - 54'!H119</f>
        <v xml:space="preserve">Aerobar Bolts: Top 30mm; Bottom N/A </v>
      </c>
    </row>
    <row r="476" spans="1:12" x14ac:dyDescent="0.25">
      <c r="A476" s="11">
        <f>'DA - 54'!C120</f>
        <v>445</v>
      </c>
      <c r="B476" s="11">
        <f>'DA - 54'!D120</f>
        <v>415</v>
      </c>
      <c r="C476" s="11">
        <f>'DA - 54'!E120</f>
        <v>495</v>
      </c>
      <c r="D476" s="11">
        <f>'DA - 54'!G120</f>
        <v>650</v>
      </c>
      <c r="E476" s="11" t="str">
        <f>'DA - 54'!B120</f>
        <v>Frame: 54 ----- Stem: 70x60  ----- Aluminium Aerobar + 5 + 10</v>
      </c>
      <c r="F476" s="11">
        <f t="shared" si="55"/>
        <v>1</v>
      </c>
      <c r="G476" s="11" t="str">
        <f t="shared" si="56"/>
        <v/>
      </c>
      <c r="H476" s="11" t="str">
        <f t="shared" si="57"/>
        <v/>
      </c>
      <c r="I476" s="11">
        <f t="shared" si="58"/>
        <v>25</v>
      </c>
      <c r="J476" s="11">
        <v>1</v>
      </c>
      <c r="K476" s="11">
        <f t="shared" si="59"/>
        <v>1</v>
      </c>
      <c r="L476" s="11" t="str">
        <f>'DA - 54'!H120</f>
        <v xml:space="preserve">Aerobar Bolts: Top 35mm; Bottom N/A </v>
      </c>
    </row>
    <row r="477" spans="1:12" x14ac:dyDescent="0.25">
      <c r="A477" s="11">
        <f>'DA - 54'!C121</f>
        <v>445</v>
      </c>
      <c r="B477" s="11">
        <f>'DA - 54'!D121</f>
        <v>415</v>
      </c>
      <c r="C477" s="11">
        <f>'DA - 54'!E121</f>
        <v>495</v>
      </c>
      <c r="D477" s="11">
        <f>'DA - 54'!G121</f>
        <v>655</v>
      </c>
      <c r="E477" s="11" t="str">
        <f>'DA - 54'!B121</f>
        <v>Frame: 54 ----- Stem: 70x60  ----- Aluminium Aerobar + 20</v>
      </c>
      <c r="F477" s="11">
        <f t="shared" si="55"/>
        <v>1</v>
      </c>
      <c r="G477" s="11" t="str">
        <f t="shared" si="56"/>
        <v/>
      </c>
      <c r="H477" s="11" t="str">
        <f t="shared" si="57"/>
        <v/>
      </c>
      <c r="I477" s="11">
        <f t="shared" si="58"/>
        <v>25</v>
      </c>
      <c r="J477" s="11">
        <v>1</v>
      </c>
      <c r="K477" s="11">
        <f t="shared" si="59"/>
        <v>1</v>
      </c>
      <c r="L477" s="11" t="str">
        <f>'DA - 54'!H121</f>
        <v xml:space="preserve">Aerobar Bolts: Top 20mm; Bottom 15mm </v>
      </c>
    </row>
    <row r="478" spans="1:12" x14ac:dyDescent="0.25">
      <c r="A478" s="11">
        <f>'DA - 54'!C122</f>
        <v>445</v>
      </c>
      <c r="B478" s="11">
        <f>'DA - 54'!D122</f>
        <v>415</v>
      </c>
      <c r="C478" s="11">
        <f>'DA - 54'!E122</f>
        <v>495</v>
      </c>
      <c r="D478" s="11">
        <f>'DA - 54'!G122</f>
        <v>660</v>
      </c>
      <c r="E478" s="11" t="str">
        <f>'DA - 54'!B122</f>
        <v>Frame: 54 ----- Stem: 70x60  ----- Aluminium Aerobar + 20 + 5</v>
      </c>
      <c r="F478" s="11">
        <f t="shared" si="55"/>
        <v>1</v>
      </c>
      <c r="G478" s="11" t="str">
        <f t="shared" si="56"/>
        <v/>
      </c>
      <c r="H478" s="11" t="str">
        <f t="shared" si="57"/>
        <v/>
      </c>
      <c r="I478" s="11">
        <f t="shared" si="58"/>
        <v>25</v>
      </c>
      <c r="J478" s="11">
        <v>1</v>
      </c>
      <c r="K478" s="11">
        <f t="shared" si="59"/>
        <v>1</v>
      </c>
      <c r="L478" s="11" t="str">
        <f>'DA - 54'!H122</f>
        <v xml:space="preserve">Aerobar Bolts: Top 25mm; Bottom 15mm </v>
      </c>
    </row>
    <row r="479" spans="1:12" x14ac:dyDescent="0.25">
      <c r="A479" s="11">
        <f>'DA - 54'!C123</f>
        <v>445</v>
      </c>
      <c r="B479" s="11">
        <f>'DA - 54'!D123</f>
        <v>415</v>
      </c>
      <c r="C479" s="11">
        <f>'DA - 54'!E123</f>
        <v>495</v>
      </c>
      <c r="D479" s="11">
        <f>'DA - 54'!G123</f>
        <v>660</v>
      </c>
      <c r="E479" s="11" t="str">
        <f>'DA - 54'!B123</f>
        <v>Frame: 54 ----- Stem: 70x60  ----- Aluminium Aerobar + 20 + bridge</v>
      </c>
      <c r="F479" s="11">
        <f t="shared" si="55"/>
        <v>1</v>
      </c>
      <c r="G479" s="11" t="str">
        <f t="shared" si="56"/>
        <v/>
      </c>
      <c r="H479" s="11" t="str">
        <f t="shared" si="57"/>
        <v/>
      </c>
      <c r="I479" s="11">
        <f t="shared" si="58"/>
        <v>25</v>
      </c>
      <c r="J479" s="11">
        <v>1</v>
      </c>
      <c r="K479" s="11">
        <f t="shared" si="59"/>
        <v>1</v>
      </c>
      <c r="L479" s="11" t="str">
        <f>'DA - 54'!H123</f>
        <v xml:space="preserve">Aerobar Bolts: Top 25mm; Bottom 15mm </v>
      </c>
    </row>
    <row r="480" spans="1:12" x14ac:dyDescent="0.25">
      <c r="A480" s="11">
        <f>'DA - 54'!C124</f>
        <v>445</v>
      </c>
      <c r="B480" s="11">
        <f>'DA - 54'!D124</f>
        <v>415</v>
      </c>
      <c r="C480" s="11">
        <f>'DA - 54'!E124</f>
        <v>495</v>
      </c>
      <c r="D480" s="11">
        <f>'DA - 54'!G124</f>
        <v>665</v>
      </c>
      <c r="E480" s="11" t="str">
        <f>'DA - 54'!B124</f>
        <v>Frame: 54 ----- Stem: 70x60  ----- Aluminium Aerobar + 30</v>
      </c>
      <c r="F480" s="11">
        <f t="shared" si="55"/>
        <v>1</v>
      </c>
      <c r="G480" s="11">
        <f t="shared" si="56"/>
        <v>1</v>
      </c>
      <c r="H480" s="11" t="str">
        <f t="shared" si="57"/>
        <v/>
      </c>
      <c r="I480" s="11">
        <f t="shared" si="58"/>
        <v>25</v>
      </c>
      <c r="J480" s="11">
        <v>1</v>
      </c>
      <c r="K480" s="11">
        <f t="shared" si="59"/>
        <v>1</v>
      </c>
      <c r="L480" s="11" t="str">
        <f>'DA - 54'!H124</f>
        <v xml:space="preserve">Aerobar Bolts: Top 25mm; Bottom 15mm </v>
      </c>
    </row>
    <row r="481" spans="1:12" x14ac:dyDescent="0.25">
      <c r="A481" s="11">
        <f>'DA - 54'!C125</f>
        <v>445</v>
      </c>
      <c r="B481" s="11">
        <f>'DA - 54'!D125</f>
        <v>415</v>
      </c>
      <c r="C481" s="11">
        <f>'DA - 54'!E125</f>
        <v>495</v>
      </c>
      <c r="D481" s="11">
        <f>'DA - 54'!G125</f>
        <v>665</v>
      </c>
      <c r="E481" s="11" t="str">
        <f>'DA - 54'!B125</f>
        <v>Frame: 54 ----- Stem: 70x60  ----- Aluminium Aerobar + 20 + bridge + 5</v>
      </c>
      <c r="F481" s="11">
        <f t="shared" si="55"/>
        <v>1</v>
      </c>
      <c r="G481" s="11" t="str">
        <f t="shared" si="56"/>
        <v/>
      </c>
      <c r="H481" s="11" t="str">
        <f t="shared" si="57"/>
        <v/>
      </c>
      <c r="I481" s="11">
        <f t="shared" si="58"/>
        <v>25</v>
      </c>
      <c r="J481" s="11">
        <v>1</v>
      </c>
      <c r="K481" s="11">
        <f t="shared" si="59"/>
        <v>1</v>
      </c>
      <c r="L481" s="11" t="str">
        <f>'DA - 54'!H125</f>
        <v xml:space="preserve">Aerobar Bolts: Top 25mm; Bottom 15mm </v>
      </c>
    </row>
    <row r="482" spans="1:12" x14ac:dyDescent="0.25">
      <c r="A482" s="11">
        <f>'DA - 54'!C126</f>
        <v>445</v>
      </c>
      <c r="B482" s="11">
        <f>'DA - 54'!D126</f>
        <v>415</v>
      </c>
      <c r="C482" s="11">
        <f>'DA - 54'!E126</f>
        <v>495</v>
      </c>
      <c r="D482" s="11">
        <f>'DA - 54'!G126</f>
        <v>670</v>
      </c>
      <c r="E482" s="11" t="str">
        <f>'DA - 54'!B126</f>
        <v>Frame: 54 ----- Stem: 70x60  ----- Aluminium Aerobar + 30 + bridge</v>
      </c>
      <c r="F482" s="11">
        <f t="shared" si="55"/>
        <v>1</v>
      </c>
      <c r="G482" s="11">
        <f t="shared" si="56"/>
        <v>1</v>
      </c>
      <c r="H482" s="11" t="str">
        <f t="shared" si="57"/>
        <v/>
      </c>
      <c r="I482" s="11">
        <f t="shared" si="58"/>
        <v>25</v>
      </c>
      <c r="J482" s="11">
        <v>1</v>
      </c>
      <c r="K482" s="11">
        <f t="shared" si="59"/>
        <v>1</v>
      </c>
      <c r="L482" s="11" t="str">
        <f>'DA - 54'!H126</f>
        <v xml:space="preserve">Aerobar Bolts: Top 30mm; Bottom 15mm </v>
      </c>
    </row>
    <row r="483" spans="1:12" x14ac:dyDescent="0.25">
      <c r="A483" s="11">
        <f>'DA - 54'!C127</f>
        <v>445</v>
      </c>
      <c r="B483" s="11">
        <f>'DA - 54'!D127</f>
        <v>415</v>
      </c>
      <c r="C483" s="11">
        <f>'DA - 54'!E127</f>
        <v>495</v>
      </c>
      <c r="D483" s="11">
        <f>'DA - 54'!G127</f>
        <v>675</v>
      </c>
      <c r="E483" s="11" t="str">
        <f>'DA - 54'!B127</f>
        <v>Frame: 54 ----- Stem: 70x60  ----- Aluminium Aerobar + 30 + bridge + 5</v>
      </c>
      <c r="F483" s="11">
        <f t="shared" si="55"/>
        <v>1</v>
      </c>
      <c r="G483" s="11">
        <f t="shared" si="56"/>
        <v>1</v>
      </c>
      <c r="H483" s="11" t="str">
        <f t="shared" si="57"/>
        <v/>
      </c>
      <c r="I483" s="11">
        <f t="shared" si="58"/>
        <v>25</v>
      </c>
      <c r="J483" s="11">
        <v>1</v>
      </c>
      <c r="K483" s="11">
        <f t="shared" si="59"/>
        <v>1</v>
      </c>
      <c r="L483" s="11" t="str">
        <f>'DA - 54'!H127</f>
        <v xml:space="preserve">Aerobar Bolts: Top 30mm; Bottom 15mm </v>
      </c>
    </row>
    <row r="484" spans="1:12" x14ac:dyDescent="0.25">
      <c r="A484" s="11">
        <f>'DA - 54'!C128</f>
        <v>445</v>
      </c>
      <c r="B484" s="11">
        <f>'DA - 54'!D128</f>
        <v>415</v>
      </c>
      <c r="C484" s="11">
        <f>'DA - 54'!E128</f>
        <v>495</v>
      </c>
      <c r="D484" s="11">
        <f>'DA - 54'!G128</f>
        <v>680</v>
      </c>
      <c r="E484" s="11" t="str">
        <f>'DA - 54'!B128</f>
        <v>Frame: 54 ----- Stem: 70x60  ----- Aluminium Aerobar + 40 + bridge</v>
      </c>
      <c r="F484" s="11">
        <f t="shared" si="55"/>
        <v>1</v>
      </c>
      <c r="G484" s="11" t="str">
        <f t="shared" si="56"/>
        <v/>
      </c>
      <c r="H484" s="11">
        <f t="shared" si="57"/>
        <v>1</v>
      </c>
      <c r="I484" s="11">
        <f t="shared" si="58"/>
        <v>25</v>
      </c>
      <c r="J484" s="11">
        <v>1</v>
      </c>
      <c r="K484" s="11">
        <f t="shared" si="59"/>
        <v>1</v>
      </c>
      <c r="L484" s="11" t="str">
        <f>'DA - 54'!H128</f>
        <v xml:space="preserve">Aerobar Bolts: Top 35mm; Bottom 15mm </v>
      </c>
    </row>
    <row r="485" spans="1:12" x14ac:dyDescent="0.25">
      <c r="A485" s="11">
        <f>'DA - 54'!C129</f>
        <v>445</v>
      </c>
      <c r="B485" s="11">
        <f>'DA - 54'!D129</f>
        <v>415</v>
      </c>
      <c r="C485" s="11">
        <f>'DA - 54'!E129</f>
        <v>495</v>
      </c>
      <c r="D485" s="11">
        <f>'DA - 54'!G129</f>
        <v>685</v>
      </c>
      <c r="E485" s="11" t="str">
        <f>'DA - 54'!B129</f>
        <v>Frame: 54 ----- Stem: 70x60  ----- Aluminium Aerobar + 40 + bridge + 5</v>
      </c>
      <c r="F485" s="11">
        <f t="shared" si="55"/>
        <v>1</v>
      </c>
      <c r="G485" s="11" t="str">
        <f t="shared" si="56"/>
        <v/>
      </c>
      <c r="H485" s="11">
        <f t="shared" si="57"/>
        <v>1</v>
      </c>
      <c r="I485" s="11">
        <f t="shared" si="58"/>
        <v>25</v>
      </c>
      <c r="J485" s="11">
        <v>1</v>
      </c>
      <c r="K485" s="11">
        <f t="shared" si="59"/>
        <v>1</v>
      </c>
      <c r="L485" s="11" t="str">
        <f>'DA - 54'!H129</f>
        <v xml:space="preserve">Aerobar Bolts: Top 35mm; Bottom 15mm </v>
      </c>
    </row>
    <row r="486" spans="1:12" x14ac:dyDescent="0.25">
      <c r="A486" s="11">
        <f>'DA - 54'!C130</f>
        <v>445</v>
      </c>
      <c r="B486" s="11">
        <f>'DA - 54'!D130</f>
        <v>415</v>
      </c>
      <c r="C486" s="11">
        <f>'DA - 54'!E130</f>
        <v>495</v>
      </c>
      <c r="D486" s="11">
        <f>'DA - 54'!G130</f>
        <v>690</v>
      </c>
      <c r="E486" s="11" t="str">
        <f>'DA - 54'!B130</f>
        <v>Frame: 54 ----- Stem: 70x60  ----- Aluminium Aerobar + 40 + bridge + 10</v>
      </c>
      <c r="F486" s="11">
        <f t="shared" si="55"/>
        <v>1</v>
      </c>
      <c r="G486" s="11" t="str">
        <f t="shared" si="56"/>
        <v/>
      </c>
      <c r="H486" s="11">
        <f t="shared" si="57"/>
        <v>1</v>
      </c>
      <c r="I486" s="11">
        <f t="shared" si="58"/>
        <v>25</v>
      </c>
      <c r="J486" s="11">
        <v>1</v>
      </c>
      <c r="K486" s="11">
        <f t="shared" si="59"/>
        <v>1</v>
      </c>
      <c r="L486" s="11" t="str">
        <f>'DA - 54'!H130</f>
        <v xml:space="preserve">Aerobar Bolts: Top 35mm; Bottom 15mm </v>
      </c>
    </row>
    <row r="487" spans="1:12" x14ac:dyDescent="0.25">
      <c r="A487" s="11">
        <f>'DA - 54'!C131</f>
        <v>445</v>
      </c>
      <c r="B487" s="11">
        <f>'DA - 54'!D131</f>
        <v>415</v>
      </c>
      <c r="C487" s="11">
        <f>'DA - 54'!E131</f>
        <v>495</v>
      </c>
      <c r="D487" s="11">
        <f>'DA - 54'!G131</f>
        <v>695</v>
      </c>
      <c r="E487" s="11" t="str">
        <f>'DA - 54'!B131</f>
        <v>Frame: 54 ----- Stem: 70x60  ----- Aluminium Aerobar + 40 + bridge + 10 + 5</v>
      </c>
      <c r="F487" s="11">
        <f t="shared" si="55"/>
        <v>1</v>
      </c>
      <c r="G487" s="11" t="str">
        <f t="shared" si="56"/>
        <v/>
      </c>
      <c r="H487" s="11">
        <f t="shared" si="57"/>
        <v>1</v>
      </c>
      <c r="I487" s="11">
        <f t="shared" si="58"/>
        <v>25</v>
      </c>
      <c r="J487" s="11">
        <v>1</v>
      </c>
      <c r="K487" s="11">
        <f t="shared" si="59"/>
        <v>1</v>
      </c>
      <c r="L487" s="11" t="str">
        <f>'DA - 54'!H131</f>
        <v xml:space="preserve">Aerobar Bolts: Top 35mm; Bottom 25mm </v>
      </c>
    </row>
    <row r="488" spans="1:12" x14ac:dyDescent="0.25">
      <c r="A488" s="11">
        <f>'DA - 54'!C132</f>
        <v>485</v>
      </c>
      <c r="B488" s="11">
        <f>'DA - 54'!D132</f>
        <v>455</v>
      </c>
      <c r="C488" s="11">
        <f>'DA - 54'!E132</f>
        <v>535</v>
      </c>
      <c r="D488" s="11">
        <f>'DA - 54'!G132</f>
        <v>605</v>
      </c>
      <c r="E488" s="11" t="str">
        <f>'DA - 54'!B132</f>
        <v>Frame: 54 ----- Stem: 100x30  ----- Aluminium Aerobar</v>
      </c>
      <c r="F488" s="11">
        <f t="shared" si="55"/>
        <v>1</v>
      </c>
      <c r="G488" s="11" t="str">
        <f t="shared" si="56"/>
        <v/>
      </c>
      <c r="H488" s="11" t="str">
        <f t="shared" si="57"/>
        <v/>
      </c>
      <c r="I488" s="11">
        <f t="shared" si="58"/>
        <v>-15</v>
      </c>
      <c r="J488" s="11">
        <v>1</v>
      </c>
      <c r="K488" s="11">
        <f t="shared" si="59"/>
        <v>1</v>
      </c>
      <c r="L488" s="11" t="str">
        <f>'DA - 54'!H132</f>
        <v xml:space="preserve">Aerobar Bolts: Top 20mm; Bottom N/A </v>
      </c>
    </row>
    <row r="489" spans="1:12" x14ac:dyDescent="0.25">
      <c r="A489" s="11">
        <f>'DA - 54'!C133</f>
        <v>485</v>
      </c>
      <c r="B489" s="11">
        <f>'DA - 54'!D133</f>
        <v>455</v>
      </c>
      <c r="C489" s="11">
        <f>'DA - 54'!E133</f>
        <v>535</v>
      </c>
      <c r="D489" s="11">
        <f>'DA - 54'!G133</f>
        <v>610</v>
      </c>
      <c r="E489" s="11" t="str">
        <f>'DA - 54'!B133</f>
        <v>Frame: 54 ----- Stem: 100x30  ----- Aluminium Aerobar + 5</v>
      </c>
      <c r="F489" s="11">
        <f t="shared" si="55"/>
        <v>1</v>
      </c>
      <c r="G489" s="11" t="str">
        <f t="shared" si="56"/>
        <v/>
      </c>
      <c r="H489" s="11" t="str">
        <f t="shared" si="57"/>
        <v/>
      </c>
      <c r="I489" s="11">
        <f t="shared" si="58"/>
        <v>-15</v>
      </c>
      <c r="J489" s="11">
        <v>1</v>
      </c>
      <c r="K489" s="11">
        <f t="shared" si="59"/>
        <v>1</v>
      </c>
      <c r="L489" s="11" t="str">
        <f>'DA - 54'!H133</f>
        <v xml:space="preserve">Aerobar Bolts: Top 25mm; Bottom N/A </v>
      </c>
    </row>
    <row r="490" spans="1:12" x14ac:dyDescent="0.25">
      <c r="A490" s="11">
        <f>'DA - 54'!C134</f>
        <v>485</v>
      </c>
      <c r="B490" s="11">
        <f>'DA - 54'!D134</f>
        <v>455</v>
      </c>
      <c r="C490" s="11">
        <f>'DA - 54'!E134</f>
        <v>535</v>
      </c>
      <c r="D490" s="11">
        <f>'DA - 54'!G134</f>
        <v>615</v>
      </c>
      <c r="E490" s="11" t="str">
        <f>'DA - 54'!B134</f>
        <v>Frame: 54 ----- Stem: 100x30  ----- Aluminium Aerobar + 10</v>
      </c>
      <c r="F490" s="11">
        <f t="shared" si="55"/>
        <v>1</v>
      </c>
      <c r="G490" s="11" t="str">
        <f t="shared" si="56"/>
        <v/>
      </c>
      <c r="H490" s="11" t="str">
        <f t="shared" si="57"/>
        <v/>
      </c>
      <c r="I490" s="11">
        <f t="shared" si="58"/>
        <v>-15</v>
      </c>
      <c r="J490" s="11">
        <v>1</v>
      </c>
      <c r="K490" s="11">
        <f t="shared" si="59"/>
        <v>1</v>
      </c>
      <c r="L490" s="11" t="str">
        <f>'DA - 54'!H134</f>
        <v xml:space="preserve">Aerobar Bolts: Top 30mm; Bottom N/A </v>
      </c>
    </row>
    <row r="491" spans="1:12" x14ac:dyDescent="0.25">
      <c r="A491" s="11">
        <f>'DA - 54'!C135</f>
        <v>485</v>
      </c>
      <c r="B491" s="11">
        <f>'DA - 54'!D135</f>
        <v>455</v>
      </c>
      <c r="C491" s="11">
        <f>'DA - 54'!E135</f>
        <v>535</v>
      </c>
      <c r="D491" s="11">
        <f>'DA - 54'!G135</f>
        <v>620</v>
      </c>
      <c r="E491" s="11" t="str">
        <f>'DA - 54'!B135</f>
        <v>Frame: 54 ----- Stem: 100x30  ----- Aluminium Aerobar + 5 + 10</v>
      </c>
      <c r="F491" s="11">
        <f t="shared" si="55"/>
        <v>1</v>
      </c>
      <c r="G491" s="11" t="str">
        <f t="shared" si="56"/>
        <v/>
      </c>
      <c r="H491" s="11" t="str">
        <f t="shared" si="57"/>
        <v/>
      </c>
      <c r="I491" s="11">
        <f t="shared" si="58"/>
        <v>-15</v>
      </c>
      <c r="J491" s="11">
        <v>1</v>
      </c>
      <c r="K491" s="11">
        <f t="shared" si="59"/>
        <v>1</v>
      </c>
      <c r="L491" s="11" t="str">
        <f>'DA - 54'!H135</f>
        <v xml:space="preserve">Aerobar Bolts: Top 35mm; Bottom N/A </v>
      </c>
    </row>
    <row r="492" spans="1:12" x14ac:dyDescent="0.25">
      <c r="A492" s="11">
        <f>'DA - 54'!C136</f>
        <v>485</v>
      </c>
      <c r="B492" s="11">
        <f>'DA - 54'!D136</f>
        <v>455</v>
      </c>
      <c r="C492" s="11">
        <f>'DA - 54'!E136</f>
        <v>535</v>
      </c>
      <c r="D492" s="11">
        <f>'DA - 54'!G136</f>
        <v>625</v>
      </c>
      <c r="E492" s="11" t="str">
        <f>'DA - 54'!B136</f>
        <v>Frame: 54 ----- Stem: 100x30  ----- Aluminium Aerobar + 20</v>
      </c>
      <c r="F492" s="11">
        <f t="shared" si="55"/>
        <v>1</v>
      </c>
      <c r="G492" s="11" t="str">
        <f t="shared" si="56"/>
        <v/>
      </c>
      <c r="H492" s="11" t="str">
        <f t="shared" si="57"/>
        <v/>
      </c>
      <c r="I492" s="11">
        <f t="shared" si="58"/>
        <v>-15</v>
      </c>
      <c r="J492" s="11">
        <v>1</v>
      </c>
      <c r="K492" s="11">
        <f t="shared" si="59"/>
        <v>1</v>
      </c>
      <c r="L492" s="11" t="str">
        <f>'DA - 54'!H136</f>
        <v xml:space="preserve">Aerobar Bolts: Top 20mm; Bottom 15mm </v>
      </c>
    </row>
    <row r="493" spans="1:12" x14ac:dyDescent="0.25">
      <c r="A493" s="11">
        <f>'DA - 54'!C137</f>
        <v>485</v>
      </c>
      <c r="B493" s="11">
        <f>'DA - 54'!D137</f>
        <v>455</v>
      </c>
      <c r="C493" s="11">
        <f>'DA - 54'!E137</f>
        <v>535</v>
      </c>
      <c r="D493" s="11">
        <f>'DA - 54'!G137</f>
        <v>630</v>
      </c>
      <c r="E493" s="11" t="str">
        <f>'DA - 54'!B137</f>
        <v>Frame: 54 ----- Stem: 100x30  ----- Aluminium Aerobar + 20 + 5</v>
      </c>
      <c r="F493" s="11">
        <f t="shared" si="55"/>
        <v>1</v>
      </c>
      <c r="G493" s="11" t="str">
        <f t="shared" si="56"/>
        <v/>
      </c>
      <c r="H493" s="11" t="str">
        <f t="shared" si="57"/>
        <v/>
      </c>
      <c r="I493" s="11">
        <f t="shared" si="58"/>
        <v>-15</v>
      </c>
      <c r="J493" s="11">
        <v>1</v>
      </c>
      <c r="K493" s="11">
        <f t="shared" si="59"/>
        <v>1</v>
      </c>
      <c r="L493" s="11" t="str">
        <f>'DA - 54'!H137</f>
        <v xml:space="preserve">Aerobar Bolts: Top 25mm; Bottom 15mm </v>
      </c>
    </row>
    <row r="494" spans="1:12" x14ac:dyDescent="0.25">
      <c r="A494" s="11">
        <f>'DA - 54'!C138</f>
        <v>485</v>
      </c>
      <c r="B494" s="11">
        <f>'DA - 54'!D138</f>
        <v>455</v>
      </c>
      <c r="C494" s="11">
        <f>'DA - 54'!E138</f>
        <v>535</v>
      </c>
      <c r="D494" s="11">
        <f>'DA - 54'!G138</f>
        <v>630</v>
      </c>
      <c r="E494" s="11" t="str">
        <f>'DA - 54'!B138</f>
        <v>Frame: 54 ----- Stem: 100x30  ----- Aluminium Aerobar + 20 + bridge</v>
      </c>
      <c r="F494" s="11">
        <f t="shared" si="55"/>
        <v>1</v>
      </c>
      <c r="G494" s="11" t="str">
        <f t="shared" si="56"/>
        <v/>
      </c>
      <c r="H494" s="11" t="str">
        <f t="shared" si="57"/>
        <v/>
      </c>
      <c r="I494" s="11">
        <f t="shared" si="58"/>
        <v>-15</v>
      </c>
      <c r="J494" s="11">
        <v>1</v>
      </c>
      <c r="K494" s="11">
        <f t="shared" si="59"/>
        <v>1</v>
      </c>
      <c r="L494" s="11" t="str">
        <f>'DA - 54'!H138</f>
        <v xml:space="preserve">Aerobar Bolts: Top 25mm; Bottom 15mm </v>
      </c>
    </row>
    <row r="495" spans="1:12" x14ac:dyDescent="0.25">
      <c r="A495" s="11">
        <f>'DA - 54'!C139</f>
        <v>485</v>
      </c>
      <c r="B495" s="11">
        <f>'DA - 54'!D139</f>
        <v>455</v>
      </c>
      <c r="C495" s="11">
        <f>'DA - 54'!E139</f>
        <v>535</v>
      </c>
      <c r="D495" s="11">
        <f>'DA - 54'!G139</f>
        <v>635</v>
      </c>
      <c r="E495" s="11" t="str">
        <f>'DA - 54'!B139</f>
        <v>Frame: 54 ----- Stem: 100x30  ----- Aluminium Aerobar + 30</v>
      </c>
      <c r="F495" s="11">
        <f t="shared" si="55"/>
        <v>1</v>
      </c>
      <c r="G495" s="11">
        <f t="shared" si="56"/>
        <v>1</v>
      </c>
      <c r="H495" s="11" t="str">
        <f t="shared" si="57"/>
        <v/>
      </c>
      <c r="I495" s="11">
        <f t="shared" si="58"/>
        <v>-15</v>
      </c>
      <c r="J495" s="11">
        <v>1</v>
      </c>
      <c r="K495" s="11">
        <f t="shared" si="59"/>
        <v>1</v>
      </c>
      <c r="L495" s="11" t="str">
        <f>'DA - 54'!H139</f>
        <v xml:space="preserve">Aerobar Bolts: Top 25mm; Bottom 15mm </v>
      </c>
    </row>
    <row r="496" spans="1:12" x14ac:dyDescent="0.25">
      <c r="A496" s="11">
        <f>'DA - 54'!C140</f>
        <v>485</v>
      </c>
      <c r="B496" s="11">
        <f>'DA - 54'!D140</f>
        <v>455</v>
      </c>
      <c r="C496" s="11">
        <f>'DA - 54'!E140</f>
        <v>535</v>
      </c>
      <c r="D496" s="11">
        <f>'DA - 54'!G140</f>
        <v>635</v>
      </c>
      <c r="E496" s="11" t="str">
        <f>'DA - 54'!B140</f>
        <v>Frame: 54 ----- Stem: 100x30  ----- Aluminium Aerobar + 20 + bridge + 5</v>
      </c>
      <c r="F496" s="11">
        <f t="shared" si="55"/>
        <v>1</v>
      </c>
      <c r="G496" s="11" t="str">
        <f t="shared" si="56"/>
        <v/>
      </c>
      <c r="H496" s="11" t="str">
        <f t="shared" si="57"/>
        <v/>
      </c>
      <c r="I496" s="11">
        <f t="shared" si="58"/>
        <v>-15</v>
      </c>
      <c r="J496" s="11">
        <v>1</v>
      </c>
      <c r="K496" s="11">
        <f t="shared" si="59"/>
        <v>1</v>
      </c>
      <c r="L496" s="11" t="str">
        <f>'DA - 54'!H140</f>
        <v xml:space="preserve">Aerobar Bolts: Top 25mm; Bottom 15mm </v>
      </c>
    </row>
    <row r="497" spans="1:12" x14ac:dyDescent="0.25">
      <c r="A497" s="11">
        <f>'DA - 54'!C141</f>
        <v>485</v>
      </c>
      <c r="B497" s="11">
        <f>'DA - 54'!D141</f>
        <v>455</v>
      </c>
      <c r="C497" s="11">
        <f>'DA - 54'!E141</f>
        <v>535</v>
      </c>
      <c r="D497" s="11">
        <f>'DA - 54'!G141</f>
        <v>640</v>
      </c>
      <c r="E497" s="11" t="str">
        <f>'DA - 54'!B141</f>
        <v>Frame: 54 ----- Stem: 100x30  ----- Aluminium Aerobar + 30 + bridge</v>
      </c>
      <c r="F497" s="11">
        <f t="shared" si="55"/>
        <v>1</v>
      </c>
      <c r="G497" s="11">
        <f t="shared" si="56"/>
        <v>1</v>
      </c>
      <c r="H497" s="11" t="str">
        <f t="shared" si="57"/>
        <v/>
      </c>
      <c r="I497" s="11">
        <f t="shared" si="58"/>
        <v>-15</v>
      </c>
      <c r="J497" s="11">
        <v>1</v>
      </c>
      <c r="K497" s="11">
        <f t="shared" si="59"/>
        <v>1</v>
      </c>
      <c r="L497" s="11" t="str">
        <f>'DA - 54'!H141</f>
        <v xml:space="preserve">Aerobar Bolts: Top 30mm; Bottom 15mm </v>
      </c>
    </row>
    <row r="498" spans="1:12" x14ac:dyDescent="0.25">
      <c r="A498" s="11">
        <f>'DA - 54'!C142</f>
        <v>485</v>
      </c>
      <c r="B498" s="11">
        <f>'DA - 54'!D142</f>
        <v>455</v>
      </c>
      <c r="C498" s="11">
        <f>'DA - 54'!E142</f>
        <v>535</v>
      </c>
      <c r="D498" s="11">
        <f>'DA - 54'!G142</f>
        <v>645</v>
      </c>
      <c r="E498" s="11" t="str">
        <f>'DA - 54'!B142</f>
        <v>Frame: 54 ----- Stem: 100x30  ----- Aluminium Aerobar + 30 + bridge + 5</v>
      </c>
      <c r="F498" s="11">
        <f t="shared" si="55"/>
        <v>1</v>
      </c>
      <c r="G498" s="11">
        <f t="shared" si="56"/>
        <v>1</v>
      </c>
      <c r="H498" s="11" t="str">
        <f t="shared" si="57"/>
        <v/>
      </c>
      <c r="I498" s="11">
        <f t="shared" si="58"/>
        <v>-15</v>
      </c>
      <c r="J498" s="11">
        <v>1</v>
      </c>
      <c r="K498" s="11">
        <f t="shared" si="59"/>
        <v>1</v>
      </c>
      <c r="L498" s="11" t="str">
        <f>'DA - 54'!H142</f>
        <v xml:space="preserve">Aerobar Bolts: Top 30mm; Bottom 15mm </v>
      </c>
    </row>
    <row r="499" spans="1:12" x14ac:dyDescent="0.25">
      <c r="A499" s="11">
        <f>'DA - 54'!C143</f>
        <v>485</v>
      </c>
      <c r="B499" s="11">
        <f>'DA - 54'!D143</f>
        <v>455</v>
      </c>
      <c r="C499" s="11">
        <f>'DA - 54'!E143</f>
        <v>535</v>
      </c>
      <c r="D499" s="11">
        <f>'DA - 54'!G143</f>
        <v>650</v>
      </c>
      <c r="E499" s="11" t="str">
        <f>'DA - 54'!B143</f>
        <v>Frame: 54 ----- Stem: 100x30  ----- Aluminium Aerobar + 40 + bridge</v>
      </c>
      <c r="F499" s="11">
        <f t="shared" si="55"/>
        <v>1</v>
      </c>
      <c r="G499" s="11" t="str">
        <f t="shared" si="56"/>
        <v/>
      </c>
      <c r="H499" s="11">
        <f t="shared" si="57"/>
        <v>1</v>
      </c>
      <c r="I499" s="11">
        <f t="shared" si="58"/>
        <v>-15</v>
      </c>
      <c r="J499" s="11">
        <v>1</v>
      </c>
      <c r="K499" s="11">
        <f t="shared" si="59"/>
        <v>1</v>
      </c>
      <c r="L499" s="11" t="str">
        <f>'DA - 54'!H143</f>
        <v xml:space="preserve">Aerobar Bolts: Top 35mm; Bottom 15mm </v>
      </c>
    </row>
    <row r="500" spans="1:12" x14ac:dyDescent="0.25">
      <c r="A500" s="11">
        <f>'DA - 54'!C144</f>
        <v>485</v>
      </c>
      <c r="B500" s="11">
        <f>'DA - 54'!D144</f>
        <v>455</v>
      </c>
      <c r="C500" s="11">
        <f>'DA - 54'!E144</f>
        <v>535</v>
      </c>
      <c r="D500" s="11">
        <f>'DA - 54'!G144</f>
        <v>655</v>
      </c>
      <c r="E500" s="11" t="str">
        <f>'DA - 54'!B144</f>
        <v>Frame: 54 ----- Stem: 100x30  ----- Aluminium Aerobar + 40 + bridge + 5</v>
      </c>
      <c r="F500" s="11">
        <f t="shared" si="55"/>
        <v>1</v>
      </c>
      <c r="G500" s="11" t="str">
        <f t="shared" si="56"/>
        <v/>
      </c>
      <c r="H500" s="11">
        <f t="shared" si="57"/>
        <v>1</v>
      </c>
      <c r="I500" s="11">
        <f t="shared" si="58"/>
        <v>-15</v>
      </c>
      <c r="J500" s="11">
        <v>1</v>
      </c>
      <c r="K500" s="11">
        <f t="shared" si="59"/>
        <v>1</v>
      </c>
      <c r="L500" s="11" t="str">
        <f>'DA - 54'!H144</f>
        <v xml:space="preserve">Aerobar Bolts: Top 35mm; Bottom 15mm </v>
      </c>
    </row>
    <row r="501" spans="1:12" x14ac:dyDescent="0.25">
      <c r="A501" s="11">
        <f>'DA - 54'!C145</f>
        <v>485</v>
      </c>
      <c r="B501" s="11">
        <f>'DA - 54'!D145</f>
        <v>455</v>
      </c>
      <c r="C501" s="11">
        <f>'DA - 54'!E145</f>
        <v>535</v>
      </c>
      <c r="D501" s="11">
        <f>'DA - 54'!G145</f>
        <v>660</v>
      </c>
      <c r="E501" s="11" t="str">
        <f>'DA - 54'!B145</f>
        <v>Frame: 54 ----- Stem: 100x30  ----- Aluminium Aerobar + 40 + bridge + 10</v>
      </c>
      <c r="F501" s="11">
        <f t="shared" si="55"/>
        <v>1</v>
      </c>
      <c r="G501" s="11" t="str">
        <f t="shared" si="56"/>
        <v/>
      </c>
      <c r="H501" s="11">
        <f t="shared" si="57"/>
        <v>1</v>
      </c>
      <c r="I501" s="11">
        <f t="shared" si="58"/>
        <v>-15</v>
      </c>
      <c r="J501" s="11">
        <v>1</v>
      </c>
      <c r="K501" s="11">
        <f t="shared" si="59"/>
        <v>1</v>
      </c>
      <c r="L501" s="11" t="str">
        <f>'DA - 54'!H145</f>
        <v xml:space="preserve">Aerobar Bolts: Top 35mm; Bottom 15mm </v>
      </c>
    </row>
    <row r="502" spans="1:12" x14ac:dyDescent="0.25">
      <c r="A502" s="11">
        <f>'DA - 54'!C146</f>
        <v>485</v>
      </c>
      <c r="B502" s="11">
        <f>'DA - 54'!D146</f>
        <v>455</v>
      </c>
      <c r="C502" s="11">
        <f>'DA - 54'!E146</f>
        <v>535</v>
      </c>
      <c r="D502" s="11">
        <f>'DA - 54'!G146</f>
        <v>665</v>
      </c>
      <c r="E502" s="11" t="str">
        <f>'DA - 54'!B146</f>
        <v>Frame: 54 ----- Stem: 100x30  ----- Aluminium Aerobar + 40 + bridge + 10 + 5</v>
      </c>
      <c r="F502" s="11">
        <f t="shared" si="55"/>
        <v>1</v>
      </c>
      <c r="G502" s="11" t="str">
        <f t="shared" si="56"/>
        <v/>
      </c>
      <c r="H502" s="11">
        <f t="shared" si="57"/>
        <v>1</v>
      </c>
      <c r="I502" s="11">
        <f t="shared" si="58"/>
        <v>-15</v>
      </c>
      <c r="J502" s="11">
        <v>1</v>
      </c>
      <c r="K502" s="11">
        <f t="shared" si="59"/>
        <v>1</v>
      </c>
      <c r="L502" s="11" t="str">
        <f>'DA - 54'!H146</f>
        <v xml:space="preserve">Aerobar Bolts: Top 35mm; Bottom 25mm </v>
      </c>
    </row>
    <row r="503" spans="1:12" x14ac:dyDescent="0.25">
      <c r="A503" s="11">
        <f>'DA - 54'!C147</f>
        <v>475</v>
      </c>
      <c r="B503" s="11">
        <f>'DA - 54'!D147</f>
        <v>445</v>
      </c>
      <c r="C503" s="11">
        <f>'DA - 54'!E147</f>
        <v>525</v>
      </c>
      <c r="D503" s="11">
        <f>'DA - 54'!G147</f>
        <v>635</v>
      </c>
      <c r="E503" s="11" t="str">
        <f>'DA - 54'!B147</f>
        <v>Frame: 54 ----- Stem: 100x60  ----- Aluminium Aerobar</v>
      </c>
      <c r="F503" s="11">
        <f t="shared" si="55"/>
        <v>1</v>
      </c>
      <c r="G503" s="11" t="str">
        <f t="shared" si="56"/>
        <v/>
      </c>
      <c r="H503" s="11" t="str">
        <f t="shared" si="57"/>
        <v/>
      </c>
      <c r="I503" s="11">
        <f t="shared" si="58"/>
        <v>-5</v>
      </c>
      <c r="J503" s="11">
        <v>1</v>
      </c>
      <c r="K503" s="11">
        <f t="shared" si="59"/>
        <v>1</v>
      </c>
      <c r="L503" s="11" t="str">
        <f>'DA - 54'!H147</f>
        <v xml:space="preserve">Aerobar Bolts: Top 20mm; Bottom N/A </v>
      </c>
    </row>
    <row r="504" spans="1:12" x14ac:dyDescent="0.25">
      <c r="A504" s="11">
        <f>'DA - 54'!C148</f>
        <v>475</v>
      </c>
      <c r="B504" s="11">
        <f>'DA - 54'!D148</f>
        <v>445</v>
      </c>
      <c r="C504" s="11">
        <f>'DA - 54'!E148</f>
        <v>525</v>
      </c>
      <c r="D504" s="11">
        <f>'DA - 54'!G148</f>
        <v>640</v>
      </c>
      <c r="E504" s="11" t="str">
        <f>'DA - 54'!B148</f>
        <v>Frame: 54 ----- Stem: 100x60  ----- Aluminium Aerobar + 5</v>
      </c>
      <c r="F504" s="11">
        <f t="shared" si="55"/>
        <v>1</v>
      </c>
      <c r="G504" s="11" t="str">
        <f t="shared" si="56"/>
        <v/>
      </c>
      <c r="H504" s="11" t="str">
        <f t="shared" si="57"/>
        <v/>
      </c>
      <c r="I504" s="11">
        <f t="shared" si="58"/>
        <v>-5</v>
      </c>
      <c r="J504" s="11">
        <v>1</v>
      </c>
      <c r="K504" s="11">
        <f t="shared" si="59"/>
        <v>1</v>
      </c>
      <c r="L504" s="11" t="str">
        <f>'DA - 54'!H148</f>
        <v xml:space="preserve">Aerobar Bolts: Top 25mm; Bottom N/A </v>
      </c>
    </row>
    <row r="505" spans="1:12" x14ac:dyDescent="0.25">
      <c r="A505" s="11">
        <f>'DA - 54'!C149</f>
        <v>475</v>
      </c>
      <c r="B505" s="11">
        <f>'DA - 54'!D149</f>
        <v>445</v>
      </c>
      <c r="C505" s="11">
        <f>'DA - 54'!E149</f>
        <v>525</v>
      </c>
      <c r="D505" s="11">
        <f>'DA - 54'!G149</f>
        <v>645</v>
      </c>
      <c r="E505" s="11" t="str">
        <f>'DA - 54'!B149</f>
        <v>Frame: 54 ----- Stem: 100x60  ----- Aluminium Aerobar + 10</v>
      </c>
      <c r="F505" s="11">
        <f t="shared" si="55"/>
        <v>1</v>
      </c>
      <c r="G505" s="11" t="str">
        <f t="shared" si="56"/>
        <v/>
      </c>
      <c r="H505" s="11" t="str">
        <f t="shared" si="57"/>
        <v/>
      </c>
      <c r="I505" s="11">
        <f t="shared" si="58"/>
        <v>-5</v>
      </c>
      <c r="J505" s="11">
        <v>1</v>
      </c>
      <c r="K505" s="11">
        <f t="shared" si="59"/>
        <v>1</v>
      </c>
      <c r="L505" s="11" t="str">
        <f>'DA - 54'!H149</f>
        <v xml:space="preserve">Aerobar Bolts: Top 30mm; Bottom N/A </v>
      </c>
    </row>
    <row r="506" spans="1:12" x14ac:dyDescent="0.25">
      <c r="A506" s="11">
        <f>'DA - 54'!C150</f>
        <v>475</v>
      </c>
      <c r="B506" s="11">
        <f>'DA - 54'!D150</f>
        <v>445</v>
      </c>
      <c r="C506" s="11">
        <f>'DA - 54'!E150</f>
        <v>525</v>
      </c>
      <c r="D506" s="11">
        <f>'DA - 54'!G150</f>
        <v>650</v>
      </c>
      <c r="E506" s="11" t="str">
        <f>'DA - 54'!B150</f>
        <v>Frame: 54 ----- Stem: 100x60  ----- Aluminium Aerobar + 5 + 10</v>
      </c>
      <c r="F506" s="11">
        <f t="shared" si="55"/>
        <v>1</v>
      </c>
      <c r="G506" s="11" t="str">
        <f t="shared" si="56"/>
        <v/>
      </c>
      <c r="H506" s="11" t="str">
        <f t="shared" si="57"/>
        <v/>
      </c>
      <c r="I506" s="11">
        <f t="shared" si="58"/>
        <v>-5</v>
      </c>
      <c r="J506" s="11">
        <v>1</v>
      </c>
      <c r="K506" s="11">
        <f t="shared" si="59"/>
        <v>1</v>
      </c>
      <c r="L506" s="11" t="str">
        <f>'DA - 54'!H150</f>
        <v xml:space="preserve">Aerobar Bolts: Top 35mm; Bottom N/A </v>
      </c>
    </row>
    <row r="507" spans="1:12" x14ac:dyDescent="0.25">
      <c r="A507" s="11">
        <f>'DA - 54'!C151</f>
        <v>475</v>
      </c>
      <c r="B507" s="11">
        <f>'DA - 54'!D151</f>
        <v>445</v>
      </c>
      <c r="C507" s="11">
        <f>'DA - 54'!E151</f>
        <v>525</v>
      </c>
      <c r="D507" s="11">
        <f>'DA - 54'!G151</f>
        <v>655</v>
      </c>
      <c r="E507" s="11" t="str">
        <f>'DA - 54'!B151</f>
        <v>Frame: 54 ----- Stem: 100x60  ----- Aluminium Aerobar + 20</v>
      </c>
      <c r="F507" s="11">
        <f t="shared" si="55"/>
        <v>1</v>
      </c>
      <c r="G507" s="11" t="str">
        <f t="shared" si="56"/>
        <v/>
      </c>
      <c r="H507" s="11" t="str">
        <f t="shared" si="57"/>
        <v/>
      </c>
      <c r="I507" s="11">
        <f t="shared" si="58"/>
        <v>-5</v>
      </c>
      <c r="J507" s="11">
        <v>1</v>
      </c>
      <c r="K507" s="11">
        <f t="shared" si="59"/>
        <v>1</v>
      </c>
      <c r="L507" s="11" t="str">
        <f>'DA - 54'!H151</f>
        <v xml:space="preserve">Aerobar Bolts: Top 20mm; Bottom 15mm </v>
      </c>
    </row>
    <row r="508" spans="1:12" x14ac:dyDescent="0.25">
      <c r="A508" s="11">
        <f>'DA - 54'!C152</f>
        <v>475</v>
      </c>
      <c r="B508" s="11">
        <f>'DA - 54'!D152</f>
        <v>445</v>
      </c>
      <c r="C508" s="11">
        <f>'DA - 54'!E152</f>
        <v>525</v>
      </c>
      <c r="D508" s="11">
        <f>'DA - 54'!G152</f>
        <v>660</v>
      </c>
      <c r="E508" s="11" t="str">
        <f>'DA - 54'!B152</f>
        <v>Frame: 54 ----- Stem: 100x60  ----- Aluminium Aerobar + 20 + 5</v>
      </c>
      <c r="F508" s="11">
        <f t="shared" si="55"/>
        <v>1</v>
      </c>
      <c r="G508" s="11" t="str">
        <f t="shared" si="56"/>
        <v/>
      </c>
      <c r="H508" s="11" t="str">
        <f t="shared" si="57"/>
        <v/>
      </c>
      <c r="I508" s="11">
        <f t="shared" si="58"/>
        <v>-5</v>
      </c>
      <c r="J508" s="11">
        <v>1</v>
      </c>
      <c r="K508" s="11">
        <f t="shared" si="59"/>
        <v>1</v>
      </c>
      <c r="L508" s="11" t="str">
        <f>'DA - 54'!H152</f>
        <v xml:space="preserve">Aerobar Bolts: Top 25mm; Bottom 15mm </v>
      </c>
    </row>
    <row r="509" spans="1:12" x14ac:dyDescent="0.25">
      <c r="A509" s="11">
        <f>'DA - 54'!C153</f>
        <v>475</v>
      </c>
      <c r="B509" s="11">
        <f>'DA - 54'!D153</f>
        <v>445</v>
      </c>
      <c r="C509" s="11">
        <f>'DA - 54'!E153</f>
        <v>525</v>
      </c>
      <c r="D509" s="11">
        <f>'DA - 54'!G153</f>
        <v>660</v>
      </c>
      <c r="E509" s="11" t="str">
        <f>'DA - 54'!B153</f>
        <v>Frame: 54 ----- Stem: 100x60  ----- Aluminium Aerobar + 20 + bridge</v>
      </c>
      <c r="F509" s="11">
        <f t="shared" si="55"/>
        <v>1</v>
      </c>
      <c r="G509" s="11" t="str">
        <f t="shared" si="56"/>
        <v/>
      </c>
      <c r="H509" s="11" t="str">
        <f t="shared" si="57"/>
        <v/>
      </c>
      <c r="I509" s="11">
        <f t="shared" si="58"/>
        <v>-5</v>
      </c>
      <c r="J509" s="11">
        <v>1</v>
      </c>
      <c r="K509" s="11">
        <f t="shared" si="59"/>
        <v>1</v>
      </c>
      <c r="L509" s="11" t="str">
        <f>'DA - 54'!H153</f>
        <v xml:space="preserve">Aerobar Bolts: Top 25mm; Bottom 15mm </v>
      </c>
    </row>
    <row r="510" spans="1:12" x14ac:dyDescent="0.25">
      <c r="A510" s="11">
        <f>'DA - 54'!C154</f>
        <v>475</v>
      </c>
      <c r="B510" s="11">
        <f>'DA - 54'!D154</f>
        <v>445</v>
      </c>
      <c r="C510" s="11">
        <f>'DA - 54'!E154</f>
        <v>525</v>
      </c>
      <c r="D510" s="11">
        <f>'DA - 54'!G154</f>
        <v>665</v>
      </c>
      <c r="E510" s="11" t="str">
        <f>'DA - 54'!B154</f>
        <v>Frame: 54 ----- Stem: 100x60  ----- Aluminium Aerobar + 30</v>
      </c>
      <c r="F510" s="11">
        <f t="shared" si="55"/>
        <v>1</v>
      </c>
      <c r="G510" s="11">
        <f t="shared" si="56"/>
        <v>1</v>
      </c>
      <c r="H510" s="11" t="str">
        <f t="shared" si="57"/>
        <v/>
      </c>
      <c r="I510" s="11">
        <f t="shared" si="58"/>
        <v>-5</v>
      </c>
      <c r="J510" s="11">
        <v>1</v>
      </c>
      <c r="K510" s="11">
        <f t="shared" si="59"/>
        <v>1</v>
      </c>
      <c r="L510" s="11" t="str">
        <f>'DA - 54'!H154</f>
        <v xml:space="preserve">Aerobar Bolts: Top 25mm; Bottom 15mm </v>
      </c>
    </row>
    <row r="511" spans="1:12" x14ac:dyDescent="0.25">
      <c r="A511" s="11">
        <f>'DA - 54'!C155</f>
        <v>475</v>
      </c>
      <c r="B511" s="11">
        <f>'DA - 54'!D155</f>
        <v>445</v>
      </c>
      <c r="C511" s="11">
        <f>'DA - 54'!E155</f>
        <v>525</v>
      </c>
      <c r="D511" s="11">
        <f>'DA - 54'!G155</f>
        <v>665</v>
      </c>
      <c r="E511" s="11" t="str">
        <f>'DA - 54'!B155</f>
        <v>Frame: 54 ----- Stem: 100x60  ----- Aluminium Aerobar + 20 + bridge + 5</v>
      </c>
      <c r="F511" s="11">
        <f t="shared" si="55"/>
        <v>1</v>
      </c>
      <c r="G511" s="11" t="str">
        <f t="shared" si="56"/>
        <v/>
      </c>
      <c r="H511" s="11" t="str">
        <f t="shared" si="57"/>
        <v/>
      </c>
      <c r="I511" s="11">
        <f t="shared" si="58"/>
        <v>-5</v>
      </c>
      <c r="J511" s="11">
        <v>1</v>
      </c>
      <c r="K511" s="11">
        <f t="shared" si="59"/>
        <v>1</v>
      </c>
      <c r="L511" s="11" t="str">
        <f>'DA - 54'!H155</f>
        <v xml:space="preserve">Aerobar Bolts: Top 25mm; Bottom 15mm </v>
      </c>
    </row>
    <row r="512" spans="1:12" x14ac:dyDescent="0.25">
      <c r="A512" s="11">
        <f>'DA - 54'!C156</f>
        <v>475</v>
      </c>
      <c r="B512" s="11">
        <f>'DA - 54'!D156</f>
        <v>445</v>
      </c>
      <c r="C512" s="11">
        <f>'DA - 54'!E156</f>
        <v>525</v>
      </c>
      <c r="D512" s="11">
        <f>'DA - 54'!G156</f>
        <v>670</v>
      </c>
      <c r="E512" s="11" t="str">
        <f>'DA - 54'!B156</f>
        <v>Frame: 54 ----- Stem: 100x60  ----- Aluminium Aerobar + 30 + bridge</v>
      </c>
      <c r="F512" s="11">
        <f t="shared" si="55"/>
        <v>1</v>
      </c>
      <c r="G512" s="11">
        <f t="shared" si="56"/>
        <v>1</v>
      </c>
      <c r="H512" s="11" t="str">
        <f t="shared" si="57"/>
        <v/>
      </c>
      <c r="I512" s="11">
        <f t="shared" si="58"/>
        <v>-5</v>
      </c>
      <c r="J512" s="11">
        <v>1</v>
      </c>
      <c r="K512" s="11">
        <f t="shared" si="59"/>
        <v>1</v>
      </c>
      <c r="L512" s="11" t="str">
        <f>'DA - 54'!H156</f>
        <v xml:space="preserve">Aerobar Bolts: Top 30mm; Bottom 15mm </v>
      </c>
    </row>
    <row r="513" spans="1:12" x14ac:dyDescent="0.25">
      <c r="A513" s="11">
        <f>'DA - 54'!C157</f>
        <v>475</v>
      </c>
      <c r="B513" s="11">
        <f>'DA - 54'!D157</f>
        <v>445</v>
      </c>
      <c r="C513" s="11">
        <f>'DA - 54'!E157</f>
        <v>525</v>
      </c>
      <c r="D513" s="11">
        <f>'DA - 54'!G157</f>
        <v>675</v>
      </c>
      <c r="E513" s="11" t="str">
        <f>'DA - 54'!B157</f>
        <v>Frame: 54 ----- Stem: 100x60  ----- Aluminium Aerobar + 30 + bridge + 5</v>
      </c>
      <c r="F513" s="11">
        <f t="shared" ref="F513:F576" si="60">IF(AND($F$5&gt;=B513,$F$5&lt;=C513),1,"")</f>
        <v>1</v>
      </c>
      <c r="G513" s="11">
        <f t="shared" si="56"/>
        <v>1</v>
      </c>
      <c r="H513" s="11" t="str">
        <f t="shared" si="57"/>
        <v/>
      </c>
      <c r="I513" s="11">
        <f t="shared" si="58"/>
        <v>-5</v>
      </c>
      <c r="J513" s="11">
        <v>1</v>
      </c>
      <c r="K513" s="11">
        <f t="shared" si="59"/>
        <v>1</v>
      </c>
      <c r="L513" s="11" t="str">
        <f>'DA - 54'!H157</f>
        <v xml:space="preserve">Aerobar Bolts: Top 30mm; Bottom 15mm </v>
      </c>
    </row>
    <row r="514" spans="1:12" x14ac:dyDescent="0.25">
      <c r="A514" s="11">
        <f>'DA - 54'!C158</f>
        <v>475</v>
      </c>
      <c r="B514" s="11">
        <f>'DA - 54'!D158</f>
        <v>445</v>
      </c>
      <c r="C514" s="11">
        <f>'DA - 54'!E158</f>
        <v>525</v>
      </c>
      <c r="D514" s="11">
        <f>'DA - 54'!G158</f>
        <v>680</v>
      </c>
      <c r="E514" s="11" t="str">
        <f>'DA - 54'!B158</f>
        <v>Frame: 54 ----- Stem: 100x60  ----- Aluminium Aerobar + 40 + bridge</v>
      </c>
      <c r="F514" s="11">
        <f t="shared" si="60"/>
        <v>1</v>
      </c>
      <c r="G514" s="11" t="str">
        <f t="shared" si="56"/>
        <v/>
      </c>
      <c r="H514" s="11">
        <f t="shared" si="57"/>
        <v>1</v>
      </c>
      <c r="I514" s="11">
        <f t="shared" si="58"/>
        <v>-5</v>
      </c>
      <c r="J514" s="11">
        <v>1</v>
      </c>
      <c r="K514" s="11">
        <f t="shared" si="59"/>
        <v>1</v>
      </c>
      <c r="L514" s="11" t="str">
        <f>'DA - 54'!H158</f>
        <v xml:space="preserve">Aerobar Bolts: Top 35mm; Bottom 15mm </v>
      </c>
    </row>
    <row r="515" spans="1:12" x14ac:dyDescent="0.25">
      <c r="A515" s="11">
        <f>'DA - 54'!C159</f>
        <v>475</v>
      </c>
      <c r="B515" s="11">
        <f>'DA - 54'!D159</f>
        <v>445</v>
      </c>
      <c r="C515" s="11">
        <f>'DA - 54'!E159</f>
        <v>525</v>
      </c>
      <c r="D515" s="11">
        <f>'DA - 54'!G159</f>
        <v>685</v>
      </c>
      <c r="E515" s="11" t="str">
        <f>'DA - 54'!B159</f>
        <v>Frame: 54 ----- Stem: 100x60  ----- Aluminium Aerobar + 40 + bridge + 5</v>
      </c>
      <c r="F515" s="11">
        <f t="shared" si="60"/>
        <v>1</v>
      </c>
      <c r="G515" s="11" t="str">
        <f t="shared" si="56"/>
        <v/>
      </c>
      <c r="H515" s="11">
        <f t="shared" si="57"/>
        <v>1</v>
      </c>
      <c r="I515" s="11">
        <f t="shared" si="58"/>
        <v>-5</v>
      </c>
      <c r="J515" s="11">
        <v>1</v>
      </c>
      <c r="K515" s="11">
        <f t="shared" si="59"/>
        <v>1</v>
      </c>
      <c r="L515" s="11" t="str">
        <f>'DA - 54'!H159</f>
        <v xml:space="preserve">Aerobar Bolts: Top 35mm; Bottom 15mm </v>
      </c>
    </row>
    <row r="516" spans="1:12" x14ac:dyDescent="0.25">
      <c r="A516" s="11">
        <f>'DA - 54'!C160</f>
        <v>475</v>
      </c>
      <c r="B516" s="11">
        <f>'DA - 54'!D160</f>
        <v>445</v>
      </c>
      <c r="C516" s="11">
        <f>'DA - 54'!E160</f>
        <v>525</v>
      </c>
      <c r="D516" s="11">
        <f>'DA - 54'!G160</f>
        <v>690</v>
      </c>
      <c r="E516" s="11" t="str">
        <f>'DA - 54'!B160</f>
        <v>Frame: 54 ----- Stem: 100x60  ----- Aluminium Aerobar + 40 + bridge + 10</v>
      </c>
      <c r="F516" s="11">
        <f t="shared" si="60"/>
        <v>1</v>
      </c>
      <c r="G516" s="11" t="str">
        <f t="shared" si="56"/>
        <v/>
      </c>
      <c r="H516" s="11">
        <f t="shared" si="57"/>
        <v>1</v>
      </c>
      <c r="I516" s="11">
        <f t="shared" si="58"/>
        <v>-5</v>
      </c>
      <c r="J516" s="11">
        <v>1</v>
      </c>
      <c r="K516" s="11">
        <f t="shared" si="59"/>
        <v>1</v>
      </c>
      <c r="L516" s="11" t="str">
        <f>'DA - 54'!H160</f>
        <v xml:space="preserve">Aerobar Bolts: Top 35mm; Bottom 15mm </v>
      </c>
    </row>
    <row r="517" spans="1:12" x14ac:dyDescent="0.25">
      <c r="A517" s="11">
        <f>'DA - 54'!C161</f>
        <v>475</v>
      </c>
      <c r="B517" s="11">
        <f>'DA - 54'!D161</f>
        <v>445</v>
      </c>
      <c r="C517" s="11">
        <f>'DA - 54'!E161</f>
        <v>525</v>
      </c>
      <c r="D517" s="11">
        <f>'DA - 54'!G161</f>
        <v>695</v>
      </c>
      <c r="E517" s="11" t="str">
        <f>'DA - 54'!B161</f>
        <v>Frame: 54 ----- Stem: 100x60  ----- Aluminium Aerobar + 40 + bridge + 10 + 5</v>
      </c>
      <c r="F517" s="11">
        <f t="shared" si="60"/>
        <v>1</v>
      </c>
      <c r="G517" s="11" t="str">
        <f t="shared" si="56"/>
        <v/>
      </c>
      <c r="H517" s="11">
        <f t="shared" si="57"/>
        <v>1</v>
      </c>
      <c r="I517" s="11">
        <f t="shared" si="58"/>
        <v>-5</v>
      </c>
      <c r="J517" s="11">
        <v>1</v>
      </c>
      <c r="K517" s="11">
        <f t="shared" si="59"/>
        <v>1</v>
      </c>
      <c r="L517" s="11" t="str">
        <f>'DA - 54'!H161</f>
        <v xml:space="preserve">Aerobar Bolts: Top 35mm; Bottom 25mm </v>
      </c>
    </row>
    <row r="518" spans="1:12" x14ac:dyDescent="0.25">
      <c r="A518" s="11">
        <f>'DA - 54'!C162</f>
        <v>480</v>
      </c>
      <c r="B518" s="11">
        <f>'DA - 54'!D162</f>
        <v>450</v>
      </c>
      <c r="C518" s="11">
        <f>'DA - 54'!E162</f>
        <v>530</v>
      </c>
      <c r="D518" s="11">
        <f>'DA - 54'!G162</f>
        <v>575</v>
      </c>
      <c r="E518" s="11" t="str">
        <f>'DA - 54'!B162</f>
        <v>Frame: 54 ----- Stem: 90x0  ----- Aluminium Aerobar</v>
      </c>
      <c r="F518" s="11">
        <f t="shared" si="60"/>
        <v>1</v>
      </c>
      <c r="G518" s="11" t="str">
        <f t="shared" si="56"/>
        <v/>
      </c>
      <c r="H518" s="11" t="str">
        <f t="shared" si="57"/>
        <v/>
      </c>
      <c r="I518" s="11">
        <f t="shared" si="58"/>
        <v>-10</v>
      </c>
      <c r="J518" s="11">
        <v>1</v>
      </c>
      <c r="K518" s="11">
        <f t="shared" si="59"/>
        <v>1</v>
      </c>
      <c r="L518" s="11" t="str">
        <f>'DA - 54'!H162</f>
        <v xml:space="preserve">Aerobar Bolts: Top 20mm; Bottom N/A </v>
      </c>
    </row>
    <row r="519" spans="1:12" x14ac:dyDescent="0.25">
      <c r="A519" s="11">
        <f>'DA - 54'!C163</f>
        <v>480</v>
      </c>
      <c r="B519" s="11">
        <f>'DA - 54'!D163</f>
        <v>450</v>
      </c>
      <c r="C519" s="11">
        <f>'DA - 54'!E163</f>
        <v>530</v>
      </c>
      <c r="D519" s="11">
        <f>'DA - 54'!G163</f>
        <v>580</v>
      </c>
      <c r="E519" s="11" t="str">
        <f>'DA - 54'!B163</f>
        <v>Frame: 54 ----- Stem: 90x0  ----- Aluminium Aerobar + 5</v>
      </c>
      <c r="F519" s="11">
        <f t="shared" si="60"/>
        <v>1</v>
      </c>
      <c r="G519" s="11" t="str">
        <f t="shared" si="56"/>
        <v/>
      </c>
      <c r="H519" s="11" t="str">
        <f t="shared" si="57"/>
        <v/>
      </c>
      <c r="I519" s="11">
        <f t="shared" si="58"/>
        <v>-10</v>
      </c>
      <c r="J519" s="11">
        <v>1</v>
      </c>
      <c r="K519" s="11">
        <f t="shared" si="59"/>
        <v>1</v>
      </c>
      <c r="L519" s="11" t="str">
        <f>'DA - 54'!H163</f>
        <v xml:space="preserve">Aerobar Bolts: Top 25mm; Bottom N/A </v>
      </c>
    </row>
    <row r="520" spans="1:12" x14ac:dyDescent="0.25">
      <c r="A520" s="11">
        <f>'DA - 54'!C164</f>
        <v>480</v>
      </c>
      <c r="B520" s="11">
        <f>'DA - 54'!D164</f>
        <v>450</v>
      </c>
      <c r="C520" s="11">
        <f>'DA - 54'!E164</f>
        <v>530</v>
      </c>
      <c r="D520" s="11">
        <f>'DA - 54'!G164</f>
        <v>585</v>
      </c>
      <c r="E520" s="11" t="str">
        <f>'DA - 54'!B164</f>
        <v>Frame: 54 ----- Stem: 90x0  ----- Aluminium Aerobar + 10</v>
      </c>
      <c r="F520" s="11">
        <f t="shared" si="60"/>
        <v>1</v>
      </c>
      <c r="G520" s="11" t="str">
        <f t="shared" si="56"/>
        <v/>
      </c>
      <c r="H520" s="11" t="str">
        <f t="shared" si="57"/>
        <v/>
      </c>
      <c r="I520" s="11">
        <f t="shared" si="58"/>
        <v>-10</v>
      </c>
      <c r="J520" s="11">
        <v>1</v>
      </c>
      <c r="K520" s="11">
        <f t="shared" si="59"/>
        <v>1</v>
      </c>
      <c r="L520" s="11" t="str">
        <f>'DA - 54'!H164</f>
        <v xml:space="preserve">Aerobar Bolts: Top 30mm; Bottom N/A </v>
      </c>
    </row>
    <row r="521" spans="1:12" x14ac:dyDescent="0.25">
      <c r="A521" s="11">
        <f>'DA - 54'!C165</f>
        <v>480</v>
      </c>
      <c r="B521" s="11">
        <f>'DA - 54'!D165</f>
        <v>450</v>
      </c>
      <c r="C521" s="11">
        <f>'DA - 54'!E165</f>
        <v>530</v>
      </c>
      <c r="D521" s="11">
        <f>'DA - 54'!G165</f>
        <v>590</v>
      </c>
      <c r="E521" s="11" t="str">
        <f>'DA - 54'!B165</f>
        <v>Frame: 54 ----- Stem: 90x0  ----- Aluminium Aerobar + 5 + 10</v>
      </c>
      <c r="F521" s="11">
        <f t="shared" si="60"/>
        <v>1</v>
      </c>
      <c r="G521" s="11" t="str">
        <f t="shared" ref="G521:G584" si="61">IF(ISNUMBER(FIND(" 30",E521)),1,"")</f>
        <v/>
      </c>
      <c r="H521" s="11" t="str">
        <f t="shared" ref="H521:H584" si="62">IF(ISNUMBER(FIND(" 40",E521)),1,"")</f>
        <v/>
      </c>
      <c r="I521" s="11">
        <f t="shared" ref="I521:I584" si="63">$F$5-A521</f>
        <v>-10</v>
      </c>
      <c r="J521" s="11">
        <v>1</v>
      </c>
      <c r="K521" s="11">
        <f t="shared" ref="K521:K584" si="64">IF(ISNUMBER(FIND(" 58",E521)),$AD$9,IF(ISNUMBER(FIND(" 56",E521)),$AD$8,IF(ISNUMBER(FIND(" 54",E521)),$AD$7,IF(ISNUMBER(FIND(" 51",E521)),$AD$6,IF(ISNUMBER(FIND(" 47",E521)),$AD$5,"")))))</f>
        <v>1</v>
      </c>
      <c r="L521" s="11" t="str">
        <f>'DA - 54'!H165</f>
        <v xml:space="preserve">Aerobar Bolts: Top 35mm; Bottom N/A </v>
      </c>
    </row>
    <row r="522" spans="1:12" x14ac:dyDescent="0.25">
      <c r="A522" s="11">
        <f>'DA - 54'!C166</f>
        <v>480</v>
      </c>
      <c r="B522" s="11">
        <f>'DA - 54'!D166</f>
        <v>450</v>
      </c>
      <c r="C522" s="11">
        <f>'DA - 54'!E166</f>
        <v>530</v>
      </c>
      <c r="D522" s="11">
        <f>'DA - 54'!G166</f>
        <v>595</v>
      </c>
      <c r="E522" s="11" t="str">
        <f>'DA - 54'!B166</f>
        <v>Frame: 54 ----- Stem: 90x0  ----- Aluminium Aerobar + 20</v>
      </c>
      <c r="F522" s="11">
        <f t="shared" si="60"/>
        <v>1</v>
      </c>
      <c r="G522" s="11" t="str">
        <f t="shared" si="61"/>
        <v/>
      </c>
      <c r="H522" s="11" t="str">
        <f t="shared" si="62"/>
        <v/>
      </c>
      <c r="I522" s="11">
        <f t="shared" si="63"/>
        <v>-10</v>
      </c>
      <c r="J522" s="11">
        <v>1</v>
      </c>
      <c r="K522" s="11">
        <f t="shared" si="64"/>
        <v>1</v>
      </c>
      <c r="L522" s="11" t="str">
        <f>'DA - 54'!H166</f>
        <v xml:space="preserve">Aerobar Bolts: Top 20mm; Bottom 15mm </v>
      </c>
    </row>
    <row r="523" spans="1:12" x14ac:dyDescent="0.25">
      <c r="A523" s="11">
        <f>'DA - 54'!C167</f>
        <v>480</v>
      </c>
      <c r="B523" s="11">
        <f>'DA - 54'!D167</f>
        <v>450</v>
      </c>
      <c r="C523" s="11">
        <f>'DA - 54'!E167</f>
        <v>530</v>
      </c>
      <c r="D523" s="11">
        <f>'DA - 54'!G167</f>
        <v>600</v>
      </c>
      <c r="E523" s="11" t="str">
        <f>'DA - 54'!B167</f>
        <v>Frame: 54 ----- Stem: 90x0  ----- Aluminium Aerobar + 20 + 5</v>
      </c>
      <c r="F523" s="11">
        <f t="shared" si="60"/>
        <v>1</v>
      </c>
      <c r="G523" s="11" t="str">
        <f t="shared" si="61"/>
        <v/>
      </c>
      <c r="H523" s="11" t="str">
        <f t="shared" si="62"/>
        <v/>
      </c>
      <c r="I523" s="11">
        <f t="shared" si="63"/>
        <v>-10</v>
      </c>
      <c r="J523" s="11">
        <v>1</v>
      </c>
      <c r="K523" s="11">
        <f t="shared" si="64"/>
        <v>1</v>
      </c>
      <c r="L523" s="11" t="str">
        <f>'DA - 54'!H167</f>
        <v xml:space="preserve">Aerobar Bolts: Top 25mm; Bottom 15mm </v>
      </c>
    </row>
    <row r="524" spans="1:12" x14ac:dyDescent="0.25">
      <c r="A524" s="11">
        <f>'DA - 54'!C168</f>
        <v>480</v>
      </c>
      <c r="B524" s="11">
        <f>'DA - 54'!D168</f>
        <v>450</v>
      </c>
      <c r="C524" s="11">
        <f>'DA - 54'!E168</f>
        <v>530</v>
      </c>
      <c r="D524" s="11">
        <f>'DA - 54'!G168</f>
        <v>600</v>
      </c>
      <c r="E524" s="11" t="str">
        <f>'DA - 54'!B168</f>
        <v>Frame: 54 ----- Stem: 90x0  ----- Aluminium Aerobar + 20 + bridge</v>
      </c>
      <c r="F524" s="11">
        <f t="shared" si="60"/>
        <v>1</v>
      </c>
      <c r="G524" s="11" t="str">
        <f t="shared" si="61"/>
        <v/>
      </c>
      <c r="H524" s="11" t="str">
        <f t="shared" si="62"/>
        <v/>
      </c>
      <c r="I524" s="11">
        <f t="shared" si="63"/>
        <v>-10</v>
      </c>
      <c r="J524" s="11">
        <v>1</v>
      </c>
      <c r="K524" s="11">
        <f t="shared" si="64"/>
        <v>1</v>
      </c>
      <c r="L524" s="11" t="str">
        <f>'DA - 54'!H168</f>
        <v xml:space="preserve">Aerobar Bolts: Top 25mm; Bottom 15mm </v>
      </c>
    </row>
    <row r="525" spans="1:12" x14ac:dyDescent="0.25">
      <c r="A525" s="11">
        <f>'DA - 54'!C169</f>
        <v>480</v>
      </c>
      <c r="B525" s="11">
        <f>'DA - 54'!D169</f>
        <v>450</v>
      </c>
      <c r="C525" s="11">
        <f>'DA - 54'!E169</f>
        <v>530</v>
      </c>
      <c r="D525" s="11">
        <f>'DA - 54'!G169</f>
        <v>605</v>
      </c>
      <c r="E525" s="11" t="str">
        <f>'DA - 54'!B169</f>
        <v>Frame: 54 ----- Stem: 90x0  ----- Aluminium Aerobar + 30</v>
      </c>
      <c r="F525" s="11">
        <f t="shared" si="60"/>
        <v>1</v>
      </c>
      <c r="G525" s="11">
        <f t="shared" si="61"/>
        <v>1</v>
      </c>
      <c r="H525" s="11" t="str">
        <f t="shared" si="62"/>
        <v/>
      </c>
      <c r="I525" s="11">
        <f t="shared" si="63"/>
        <v>-10</v>
      </c>
      <c r="J525" s="11">
        <v>1</v>
      </c>
      <c r="K525" s="11">
        <f t="shared" si="64"/>
        <v>1</v>
      </c>
      <c r="L525" s="11" t="str">
        <f>'DA - 54'!H169</f>
        <v xml:space="preserve">Aerobar Bolts: Top 25mm; Bottom 15mm </v>
      </c>
    </row>
    <row r="526" spans="1:12" x14ac:dyDescent="0.25">
      <c r="A526" s="11">
        <f>'DA - 54'!C170</f>
        <v>480</v>
      </c>
      <c r="B526" s="11">
        <f>'DA - 54'!D170</f>
        <v>450</v>
      </c>
      <c r="C526" s="11">
        <f>'DA - 54'!E170</f>
        <v>530</v>
      </c>
      <c r="D526" s="11">
        <f>'DA - 54'!G170</f>
        <v>605</v>
      </c>
      <c r="E526" s="11" t="str">
        <f>'DA - 54'!B170</f>
        <v>Frame: 54 ----- Stem: 90x0  ----- Aluminium Aerobar + 20 + bridge + 5</v>
      </c>
      <c r="F526" s="11">
        <f t="shared" si="60"/>
        <v>1</v>
      </c>
      <c r="G526" s="11" t="str">
        <f t="shared" si="61"/>
        <v/>
      </c>
      <c r="H526" s="11" t="str">
        <f t="shared" si="62"/>
        <v/>
      </c>
      <c r="I526" s="11">
        <f t="shared" si="63"/>
        <v>-10</v>
      </c>
      <c r="J526" s="11">
        <v>1</v>
      </c>
      <c r="K526" s="11">
        <f t="shared" si="64"/>
        <v>1</v>
      </c>
      <c r="L526" s="11" t="str">
        <f>'DA - 54'!H170</f>
        <v xml:space="preserve">Aerobar Bolts: Top 25mm; Bottom 15mm </v>
      </c>
    </row>
    <row r="527" spans="1:12" x14ac:dyDescent="0.25">
      <c r="A527" s="11">
        <f>'DA - 54'!C171</f>
        <v>480</v>
      </c>
      <c r="B527" s="11">
        <f>'DA - 54'!D171</f>
        <v>450</v>
      </c>
      <c r="C527" s="11">
        <f>'DA - 54'!E171</f>
        <v>530</v>
      </c>
      <c r="D527" s="11">
        <f>'DA - 54'!G171</f>
        <v>610</v>
      </c>
      <c r="E527" s="11" t="str">
        <f>'DA - 54'!B171</f>
        <v>Frame: 54 ----- Stem: 90x0  ----- Aluminium Aerobar + 30 + bridge</v>
      </c>
      <c r="F527" s="11">
        <f t="shared" si="60"/>
        <v>1</v>
      </c>
      <c r="G527" s="11">
        <f t="shared" si="61"/>
        <v>1</v>
      </c>
      <c r="H527" s="11" t="str">
        <f t="shared" si="62"/>
        <v/>
      </c>
      <c r="I527" s="11">
        <f t="shared" si="63"/>
        <v>-10</v>
      </c>
      <c r="J527" s="11">
        <v>1</v>
      </c>
      <c r="K527" s="11">
        <f t="shared" si="64"/>
        <v>1</v>
      </c>
      <c r="L527" s="11" t="str">
        <f>'DA - 54'!H171</f>
        <v xml:space="preserve">Aerobar Bolts: Top 30mm; Bottom 15mm </v>
      </c>
    </row>
    <row r="528" spans="1:12" x14ac:dyDescent="0.25">
      <c r="A528" s="11">
        <f>'DA - 54'!C172</f>
        <v>480</v>
      </c>
      <c r="B528" s="11">
        <f>'DA - 54'!D172</f>
        <v>450</v>
      </c>
      <c r="C528" s="11">
        <f>'DA - 54'!E172</f>
        <v>530</v>
      </c>
      <c r="D528" s="11">
        <f>'DA - 54'!G172</f>
        <v>615</v>
      </c>
      <c r="E528" s="11" t="str">
        <f>'DA - 54'!B172</f>
        <v>Frame: 54 ----- Stem: 90x0  ----- Aluminium Aerobar + 30 + bridge + 5</v>
      </c>
      <c r="F528" s="11">
        <f t="shared" si="60"/>
        <v>1</v>
      </c>
      <c r="G528" s="11">
        <f t="shared" si="61"/>
        <v>1</v>
      </c>
      <c r="H528" s="11" t="str">
        <f t="shared" si="62"/>
        <v/>
      </c>
      <c r="I528" s="11">
        <f t="shared" si="63"/>
        <v>-10</v>
      </c>
      <c r="J528" s="11">
        <v>1</v>
      </c>
      <c r="K528" s="11">
        <f t="shared" si="64"/>
        <v>1</v>
      </c>
      <c r="L528" s="11" t="str">
        <f>'DA - 54'!H172</f>
        <v xml:space="preserve">Aerobar Bolts: Top 30mm; Bottom 15mm </v>
      </c>
    </row>
    <row r="529" spans="1:12" x14ac:dyDescent="0.25">
      <c r="A529" s="11">
        <f>'DA - 54'!C173</f>
        <v>480</v>
      </c>
      <c r="B529" s="11">
        <f>'DA - 54'!D173</f>
        <v>450</v>
      </c>
      <c r="C529" s="11">
        <f>'DA - 54'!E173</f>
        <v>530</v>
      </c>
      <c r="D529" s="11">
        <f>'DA - 54'!G173</f>
        <v>620</v>
      </c>
      <c r="E529" s="11" t="str">
        <f>'DA - 54'!B173</f>
        <v>Frame: 54 ----- Stem: 90x0  ----- Aluminium Aerobar + 40 + bridge</v>
      </c>
      <c r="F529" s="11">
        <f t="shared" si="60"/>
        <v>1</v>
      </c>
      <c r="G529" s="11" t="str">
        <f t="shared" si="61"/>
        <v/>
      </c>
      <c r="H529" s="11">
        <f t="shared" si="62"/>
        <v>1</v>
      </c>
      <c r="I529" s="11">
        <f t="shared" si="63"/>
        <v>-10</v>
      </c>
      <c r="J529" s="11">
        <v>1</v>
      </c>
      <c r="K529" s="11">
        <f t="shared" si="64"/>
        <v>1</v>
      </c>
      <c r="L529" s="11" t="str">
        <f>'DA - 54'!H173</f>
        <v xml:space="preserve">Aerobar Bolts: Top 35mm; Bottom 15mm </v>
      </c>
    </row>
    <row r="530" spans="1:12" x14ac:dyDescent="0.25">
      <c r="A530" s="11">
        <f>'DA - 54'!C174</f>
        <v>480</v>
      </c>
      <c r="B530" s="11">
        <f>'DA - 54'!D174</f>
        <v>450</v>
      </c>
      <c r="C530" s="11">
        <f>'DA - 54'!E174</f>
        <v>530</v>
      </c>
      <c r="D530" s="11">
        <f>'DA - 54'!G174</f>
        <v>625</v>
      </c>
      <c r="E530" s="11" t="str">
        <f>'DA - 54'!B174</f>
        <v>Frame: 54 ----- Stem: 90x0  ----- Aluminium Aerobar + 40 + bridge + 5</v>
      </c>
      <c r="F530" s="11">
        <f t="shared" si="60"/>
        <v>1</v>
      </c>
      <c r="G530" s="11" t="str">
        <f t="shared" si="61"/>
        <v/>
      </c>
      <c r="H530" s="11">
        <f t="shared" si="62"/>
        <v>1</v>
      </c>
      <c r="I530" s="11">
        <f t="shared" si="63"/>
        <v>-10</v>
      </c>
      <c r="J530" s="11">
        <v>1</v>
      </c>
      <c r="K530" s="11">
        <f t="shared" si="64"/>
        <v>1</v>
      </c>
      <c r="L530" s="11" t="str">
        <f>'DA - 54'!H174</f>
        <v xml:space="preserve">Aerobar Bolts: Top 35mm; Bottom 15mm </v>
      </c>
    </row>
    <row r="531" spans="1:12" x14ac:dyDescent="0.25">
      <c r="A531" s="11">
        <f>'DA - 54'!C175</f>
        <v>480</v>
      </c>
      <c r="B531" s="11">
        <f>'DA - 54'!D175</f>
        <v>450</v>
      </c>
      <c r="C531" s="11">
        <f>'DA - 54'!E175</f>
        <v>530</v>
      </c>
      <c r="D531" s="11">
        <f>'DA - 54'!G175</f>
        <v>630</v>
      </c>
      <c r="E531" s="11" t="str">
        <f>'DA - 54'!B175</f>
        <v>Frame: 54 ----- Stem: 90x0  ----- Aluminium Aerobar + 40 + bridge + 10</v>
      </c>
      <c r="F531" s="11">
        <f t="shared" si="60"/>
        <v>1</v>
      </c>
      <c r="G531" s="11" t="str">
        <f t="shared" si="61"/>
        <v/>
      </c>
      <c r="H531" s="11">
        <f t="shared" si="62"/>
        <v>1</v>
      </c>
      <c r="I531" s="11">
        <f t="shared" si="63"/>
        <v>-10</v>
      </c>
      <c r="J531" s="11">
        <v>1</v>
      </c>
      <c r="K531" s="11">
        <f t="shared" si="64"/>
        <v>1</v>
      </c>
      <c r="L531" s="11" t="str">
        <f>'DA - 54'!H175</f>
        <v xml:space="preserve">Aerobar Bolts: Top 35mm; Bottom 15mm </v>
      </c>
    </row>
    <row r="532" spans="1:12" x14ac:dyDescent="0.25">
      <c r="A532" s="11">
        <f>'DA - 54'!C176</f>
        <v>480</v>
      </c>
      <c r="B532" s="11">
        <f>'DA - 54'!D176</f>
        <v>450</v>
      </c>
      <c r="C532" s="11">
        <f>'DA - 54'!E176</f>
        <v>530</v>
      </c>
      <c r="D532" s="11">
        <f>'DA - 54'!G176</f>
        <v>635</v>
      </c>
      <c r="E532" s="11" t="str">
        <f>'DA - 54'!B176</f>
        <v>Frame: 54 ----- Stem: 90x0  ----- Aluminium Aerobar + 40 + bridge + 10 + 5</v>
      </c>
      <c r="F532" s="11">
        <f t="shared" si="60"/>
        <v>1</v>
      </c>
      <c r="G532" s="11" t="str">
        <f t="shared" si="61"/>
        <v/>
      </c>
      <c r="H532" s="11">
        <f t="shared" si="62"/>
        <v>1</v>
      </c>
      <c r="I532" s="11">
        <f t="shared" si="63"/>
        <v>-10</v>
      </c>
      <c r="J532" s="11">
        <v>1</v>
      </c>
      <c r="K532" s="11">
        <f t="shared" si="64"/>
        <v>1</v>
      </c>
      <c r="L532" s="11" t="str">
        <f>'DA - 54'!H176</f>
        <v xml:space="preserve">Aerobar Bolts: Top 35mm; Bottom 25mm </v>
      </c>
    </row>
    <row r="533" spans="1:12" x14ac:dyDescent="0.25">
      <c r="A533" s="11">
        <f>'DA - 54'!C177</f>
        <v>500</v>
      </c>
      <c r="B533" s="11">
        <f>'DA - 54'!D177</f>
        <v>470</v>
      </c>
      <c r="C533" s="11">
        <f>'DA - 54'!E177</f>
        <v>550</v>
      </c>
      <c r="D533" s="11">
        <f>'DA - 54'!G177</f>
        <v>575</v>
      </c>
      <c r="E533" s="11" t="str">
        <f>'DA - 54'!B177</f>
        <v>Frame: 54 ----- Stem: 110x0  ----- Aluminium Aerobar</v>
      </c>
      <c r="F533" s="11">
        <f t="shared" si="60"/>
        <v>1</v>
      </c>
      <c r="G533" s="11" t="str">
        <f t="shared" si="61"/>
        <v/>
      </c>
      <c r="H533" s="11" t="str">
        <f t="shared" si="62"/>
        <v/>
      </c>
      <c r="I533" s="11">
        <f t="shared" si="63"/>
        <v>-30</v>
      </c>
      <c r="J533" s="11">
        <v>1</v>
      </c>
      <c r="K533" s="11">
        <f t="shared" si="64"/>
        <v>1</v>
      </c>
      <c r="L533" s="11" t="str">
        <f>'DA - 54'!H177</f>
        <v xml:space="preserve">Aerobar Bolts: Top 20mm; Bottom N/A </v>
      </c>
    </row>
    <row r="534" spans="1:12" x14ac:dyDescent="0.25">
      <c r="A534" s="11">
        <f>'DA - 54'!C178</f>
        <v>500</v>
      </c>
      <c r="B534" s="11">
        <f>'DA - 54'!D178</f>
        <v>470</v>
      </c>
      <c r="C534" s="11">
        <f>'DA - 54'!E178</f>
        <v>550</v>
      </c>
      <c r="D534" s="11">
        <f>'DA - 54'!G178</f>
        <v>580</v>
      </c>
      <c r="E534" s="11" t="str">
        <f>'DA - 54'!B178</f>
        <v>Frame: 54 ----- Stem: 110x0  ----- Aluminium Aerobar + 5</v>
      </c>
      <c r="F534" s="11">
        <f t="shared" si="60"/>
        <v>1</v>
      </c>
      <c r="G534" s="11" t="str">
        <f t="shared" si="61"/>
        <v/>
      </c>
      <c r="H534" s="11" t="str">
        <f t="shared" si="62"/>
        <v/>
      </c>
      <c r="I534" s="11">
        <f t="shared" si="63"/>
        <v>-30</v>
      </c>
      <c r="J534" s="11">
        <v>1</v>
      </c>
      <c r="K534" s="11">
        <f t="shared" si="64"/>
        <v>1</v>
      </c>
      <c r="L534" s="11" t="str">
        <f>'DA - 54'!H178</f>
        <v xml:space="preserve">Aerobar Bolts: Top 25mm; Bottom N/A </v>
      </c>
    </row>
    <row r="535" spans="1:12" x14ac:dyDescent="0.25">
      <c r="A535" s="11">
        <f>'DA - 54'!C179</f>
        <v>500</v>
      </c>
      <c r="B535" s="11">
        <f>'DA - 54'!D179</f>
        <v>470</v>
      </c>
      <c r="C535" s="11">
        <f>'DA - 54'!E179</f>
        <v>550</v>
      </c>
      <c r="D535" s="11">
        <f>'DA - 54'!G179</f>
        <v>585</v>
      </c>
      <c r="E535" s="11" t="str">
        <f>'DA - 54'!B179</f>
        <v>Frame: 54 ----- Stem: 110x0  ----- Aluminium Aerobar + 10</v>
      </c>
      <c r="F535" s="11">
        <f t="shared" si="60"/>
        <v>1</v>
      </c>
      <c r="G535" s="11" t="str">
        <f t="shared" si="61"/>
        <v/>
      </c>
      <c r="H535" s="11" t="str">
        <f t="shared" si="62"/>
        <v/>
      </c>
      <c r="I535" s="11">
        <f t="shared" si="63"/>
        <v>-30</v>
      </c>
      <c r="J535" s="11">
        <v>1</v>
      </c>
      <c r="K535" s="11">
        <f t="shared" si="64"/>
        <v>1</v>
      </c>
      <c r="L535" s="11" t="str">
        <f>'DA - 54'!H179</f>
        <v xml:space="preserve">Aerobar Bolts: Top 30mm; Bottom N/A </v>
      </c>
    </row>
    <row r="536" spans="1:12" x14ac:dyDescent="0.25">
      <c r="A536" s="11">
        <f>'DA - 54'!C180</f>
        <v>500</v>
      </c>
      <c r="B536" s="11">
        <f>'DA - 54'!D180</f>
        <v>470</v>
      </c>
      <c r="C536" s="11">
        <f>'DA - 54'!E180</f>
        <v>550</v>
      </c>
      <c r="D536" s="11">
        <f>'DA - 54'!G180</f>
        <v>590</v>
      </c>
      <c r="E536" s="11" t="str">
        <f>'DA - 54'!B180</f>
        <v>Frame: 54 ----- Stem: 110x0  ----- Aluminium Aerobar + 5 + 10</v>
      </c>
      <c r="F536" s="11">
        <f t="shared" si="60"/>
        <v>1</v>
      </c>
      <c r="G536" s="11" t="str">
        <f t="shared" si="61"/>
        <v/>
      </c>
      <c r="H536" s="11" t="str">
        <f t="shared" si="62"/>
        <v/>
      </c>
      <c r="I536" s="11">
        <f t="shared" si="63"/>
        <v>-30</v>
      </c>
      <c r="J536" s="11">
        <v>1</v>
      </c>
      <c r="K536" s="11">
        <f t="shared" si="64"/>
        <v>1</v>
      </c>
      <c r="L536" s="11" t="str">
        <f>'DA - 54'!H180</f>
        <v xml:space="preserve">Aerobar Bolts: Top 35mm; Bottom N/A </v>
      </c>
    </row>
    <row r="537" spans="1:12" x14ac:dyDescent="0.25">
      <c r="A537" s="11">
        <f>'DA - 54'!C181</f>
        <v>500</v>
      </c>
      <c r="B537" s="11">
        <f>'DA - 54'!D181</f>
        <v>470</v>
      </c>
      <c r="C537" s="11">
        <f>'DA - 54'!E181</f>
        <v>550</v>
      </c>
      <c r="D537" s="11">
        <f>'DA - 54'!G181</f>
        <v>595</v>
      </c>
      <c r="E537" s="11" t="str">
        <f>'DA - 54'!B181</f>
        <v>Frame: 54 ----- Stem: 110x0  ----- Aluminium Aerobar + 20</v>
      </c>
      <c r="F537" s="11">
        <f t="shared" si="60"/>
        <v>1</v>
      </c>
      <c r="G537" s="11" t="str">
        <f t="shared" si="61"/>
        <v/>
      </c>
      <c r="H537" s="11" t="str">
        <f t="shared" si="62"/>
        <v/>
      </c>
      <c r="I537" s="11">
        <f t="shared" si="63"/>
        <v>-30</v>
      </c>
      <c r="J537" s="11">
        <v>1</v>
      </c>
      <c r="K537" s="11">
        <f t="shared" si="64"/>
        <v>1</v>
      </c>
      <c r="L537" s="11" t="str">
        <f>'DA - 54'!H181</f>
        <v xml:space="preserve">Aerobar Bolts: Top 20mm; Bottom 15mm </v>
      </c>
    </row>
    <row r="538" spans="1:12" x14ac:dyDescent="0.25">
      <c r="A538" s="11">
        <f>'DA - 54'!C182</f>
        <v>500</v>
      </c>
      <c r="B538" s="11">
        <f>'DA - 54'!D182</f>
        <v>470</v>
      </c>
      <c r="C538" s="11">
        <f>'DA - 54'!E182</f>
        <v>550</v>
      </c>
      <c r="D538" s="11">
        <f>'DA - 54'!G182</f>
        <v>600</v>
      </c>
      <c r="E538" s="11" t="str">
        <f>'DA - 54'!B182</f>
        <v>Frame: 54 ----- Stem: 110x0  ----- Aluminium Aerobar + 20 + 5</v>
      </c>
      <c r="F538" s="11">
        <f t="shared" si="60"/>
        <v>1</v>
      </c>
      <c r="G538" s="11" t="str">
        <f t="shared" si="61"/>
        <v/>
      </c>
      <c r="H538" s="11" t="str">
        <f t="shared" si="62"/>
        <v/>
      </c>
      <c r="I538" s="11">
        <f t="shared" si="63"/>
        <v>-30</v>
      </c>
      <c r="J538" s="11">
        <v>1</v>
      </c>
      <c r="K538" s="11">
        <f t="shared" si="64"/>
        <v>1</v>
      </c>
      <c r="L538" s="11" t="str">
        <f>'DA - 54'!H182</f>
        <v xml:space="preserve">Aerobar Bolts: Top 25mm; Bottom 15mm </v>
      </c>
    </row>
    <row r="539" spans="1:12" x14ac:dyDescent="0.25">
      <c r="A539" s="11">
        <f>'DA - 54'!C183</f>
        <v>500</v>
      </c>
      <c r="B539" s="11">
        <f>'DA - 54'!D183</f>
        <v>470</v>
      </c>
      <c r="C539" s="11">
        <f>'DA - 54'!E183</f>
        <v>550</v>
      </c>
      <c r="D539" s="11">
        <f>'DA - 54'!G183</f>
        <v>600</v>
      </c>
      <c r="E539" s="11" t="str">
        <f>'DA - 54'!B183</f>
        <v>Frame: 54 ----- Stem: 110x0  ----- Aluminium Aerobar + 20 + bridge</v>
      </c>
      <c r="F539" s="11">
        <f t="shared" si="60"/>
        <v>1</v>
      </c>
      <c r="G539" s="11" t="str">
        <f t="shared" si="61"/>
        <v/>
      </c>
      <c r="H539" s="11" t="str">
        <f t="shared" si="62"/>
        <v/>
      </c>
      <c r="I539" s="11">
        <f t="shared" si="63"/>
        <v>-30</v>
      </c>
      <c r="J539" s="11">
        <v>1</v>
      </c>
      <c r="K539" s="11">
        <f t="shared" si="64"/>
        <v>1</v>
      </c>
      <c r="L539" s="11" t="str">
        <f>'DA - 54'!H183</f>
        <v xml:space="preserve">Aerobar Bolts: Top 25mm; Bottom 15mm </v>
      </c>
    </row>
    <row r="540" spans="1:12" x14ac:dyDescent="0.25">
      <c r="A540" s="11">
        <f>'DA - 54'!C184</f>
        <v>500</v>
      </c>
      <c r="B540" s="11">
        <f>'DA - 54'!D184</f>
        <v>470</v>
      </c>
      <c r="C540" s="11">
        <f>'DA - 54'!E184</f>
        <v>550</v>
      </c>
      <c r="D540" s="11">
        <f>'DA - 54'!G184</f>
        <v>605</v>
      </c>
      <c r="E540" s="11" t="str">
        <f>'DA - 54'!B184</f>
        <v>Frame: 54 ----- Stem: 110x0  ----- Aluminium Aerobar + 30</v>
      </c>
      <c r="F540" s="11">
        <f t="shared" si="60"/>
        <v>1</v>
      </c>
      <c r="G540" s="11">
        <f t="shared" si="61"/>
        <v>1</v>
      </c>
      <c r="H540" s="11" t="str">
        <f t="shared" si="62"/>
        <v/>
      </c>
      <c r="I540" s="11">
        <f t="shared" si="63"/>
        <v>-30</v>
      </c>
      <c r="J540" s="11">
        <v>1</v>
      </c>
      <c r="K540" s="11">
        <f t="shared" si="64"/>
        <v>1</v>
      </c>
      <c r="L540" s="11" t="str">
        <f>'DA - 54'!H184</f>
        <v xml:space="preserve">Aerobar Bolts: Top 25mm; Bottom 15mm </v>
      </c>
    </row>
    <row r="541" spans="1:12" x14ac:dyDescent="0.25">
      <c r="A541" s="11">
        <f>'DA - 54'!C185</f>
        <v>500</v>
      </c>
      <c r="B541" s="11">
        <f>'DA - 54'!D185</f>
        <v>470</v>
      </c>
      <c r="C541" s="11">
        <f>'DA - 54'!E185</f>
        <v>550</v>
      </c>
      <c r="D541" s="11">
        <f>'DA - 54'!G185</f>
        <v>605</v>
      </c>
      <c r="E541" s="11" t="str">
        <f>'DA - 54'!B185</f>
        <v>Frame: 54 ----- Stem: 110x0  ----- Aluminium Aerobar + 20 + bridge + 5</v>
      </c>
      <c r="F541" s="11">
        <f t="shared" si="60"/>
        <v>1</v>
      </c>
      <c r="G541" s="11" t="str">
        <f t="shared" si="61"/>
        <v/>
      </c>
      <c r="H541" s="11" t="str">
        <f t="shared" si="62"/>
        <v/>
      </c>
      <c r="I541" s="11">
        <f t="shared" si="63"/>
        <v>-30</v>
      </c>
      <c r="J541" s="11">
        <v>1</v>
      </c>
      <c r="K541" s="11">
        <f t="shared" si="64"/>
        <v>1</v>
      </c>
      <c r="L541" s="11" t="str">
        <f>'DA - 54'!H185</f>
        <v xml:space="preserve">Aerobar Bolts: Top 25mm; Bottom 15mm </v>
      </c>
    </row>
    <row r="542" spans="1:12" x14ac:dyDescent="0.25">
      <c r="A542" s="11">
        <f>'DA - 54'!C186</f>
        <v>500</v>
      </c>
      <c r="B542" s="11">
        <f>'DA - 54'!D186</f>
        <v>470</v>
      </c>
      <c r="C542" s="11">
        <f>'DA - 54'!E186</f>
        <v>550</v>
      </c>
      <c r="D542" s="11">
        <f>'DA - 54'!G186</f>
        <v>610</v>
      </c>
      <c r="E542" s="11" t="str">
        <f>'DA - 54'!B186</f>
        <v>Frame: 54 ----- Stem: 110x0  ----- Aluminium Aerobar + 30 + bridge</v>
      </c>
      <c r="F542" s="11">
        <f t="shared" si="60"/>
        <v>1</v>
      </c>
      <c r="G542" s="11">
        <f t="shared" si="61"/>
        <v>1</v>
      </c>
      <c r="H542" s="11" t="str">
        <f t="shared" si="62"/>
        <v/>
      </c>
      <c r="I542" s="11">
        <f t="shared" si="63"/>
        <v>-30</v>
      </c>
      <c r="J542" s="11">
        <v>1</v>
      </c>
      <c r="K542" s="11">
        <f t="shared" si="64"/>
        <v>1</v>
      </c>
      <c r="L542" s="11" t="str">
        <f>'DA - 54'!H186</f>
        <v xml:space="preserve">Aerobar Bolts: Top 30mm; Bottom 15mm </v>
      </c>
    </row>
    <row r="543" spans="1:12" x14ac:dyDescent="0.25">
      <c r="A543" s="11">
        <f>'DA - 54'!C187</f>
        <v>500</v>
      </c>
      <c r="B543" s="11">
        <f>'DA - 54'!D187</f>
        <v>470</v>
      </c>
      <c r="C543" s="11">
        <f>'DA - 54'!E187</f>
        <v>550</v>
      </c>
      <c r="D543" s="11">
        <f>'DA - 54'!G187</f>
        <v>615</v>
      </c>
      <c r="E543" s="11" t="str">
        <f>'DA - 54'!B187</f>
        <v>Frame: 54 ----- Stem: 110x0  ----- Aluminium Aerobar + 30 + bridge + 5</v>
      </c>
      <c r="F543" s="11">
        <f t="shared" si="60"/>
        <v>1</v>
      </c>
      <c r="G543" s="11">
        <f t="shared" si="61"/>
        <v>1</v>
      </c>
      <c r="H543" s="11" t="str">
        <f t="shared" si="62"/>
        <v/>
      </c>
      <c r="I543" s="11">
        <f t="shared" si="63"/>
        <v>-30</v>
      </c>
      <c r="J543" s="11">
        <v>1</v>
      </c>
      <c r="K543" s="11">
        <f t="shared" si="64"/>
        <v>1</v>
      </c>
      <c r="L543" s="11" t="str">
        <f>'DA - 54'!H187</f>
        <v xml:space="preserve">Aerobar Bolts: Top 30mm; Bottom 15mm </v>
      </c>
    </row>
    <row r="544" spans="1:12" x14ac:dyDescent="0.25">
      <c r="A544" s="11">
        <f>'DA - 54'!C188</f>
        <v>500</v>
      </c>
      <c r="B544" s="11">
        <f>'DA - 54'!D188</f>
        <v>470</v>
      </c>
      <c r="C544" s="11">
        <f>'DA - 54'!E188</f>
        <v>550</v>
      </c>
      <c r="D544" s="11">
        <f>'DA - 54'!G188</f>
        <v>620</v>
      </c>
      <c r="E544" s="11" t="str">
        <f>'DA - 54'!B188</f>
        <v>Frame: 54 ----- Stem: 110x0  ----- Aluminium Aerobar + 40 + bridge</v>
      </c>
      <c r="F544" s="11">
        <f t="shared" si="60"/>
        <v>1</v>
      </c>
      <c r="G544" s="11" t="str">
        <f t="shared" si="61"/>
        <v/>
      </c>
      <c r="H544" s="11">
        <f t="shared" si="62"/>
        <v>1</v>
      </c>
      <c r="I544" s="11">
        <f t="shared" si="63"/>
        <v>-30</v>
      </c>
      <c r="J544" s="11">
        <v>1</v>
      </c>
      <c r="K544" s="11">
        <f t="shared" si="64"/>
        <v>1</v>
      </c>
      <c r="L544" s="11" t="str">
        <f>'DA - 54'!H188</f>
        <v xml:space="preserve">Aerobar Bolts: Top 35mm; Bottom 15mm </v>
      </c>
    </row>
    <row r="545" spans="1:12" x14ac:dyDescent="0.25">
      <c r="A545" s="11">
        <f>'DA - 54'!C189</f>
        <v>500</v>
      </c>
      <c r="B545" s="11">
        <f>'DA - 54'!D189</f>
        <v>470</v>
      </c>
      <c r="C545" s="11">
        <f>'DA - 54'!E189</f>
        <v>550</v>
      </c>
      <c r="D545" s="11">
        <f>'DA - 54'!G189</f>
        <v>625</v>
      </c>
      <c r="E545" s="11" t="str">
        <f>'DA - 54'!B189</f>
        <v>Frame: 54 ----- Stem: 110x0  ----- Aluminium Aerobar + 40 + bridge + 5</v>
      </c>
      <c r="F545" s="11">
        <f t="shared" si="60"/>
        <v>1</v>
      </c>
      <c r="G545" s="11" t="str">
        <f t="shared" si="61"/>
        <v/>
      </c>
      <c r="H545" s="11">
        <f t="shared" si="62"/>
        <v>1</v>
      </c>
      <c r="I545" s="11">
        <f t="shared" si="63"/>
        <v>-30</v>
      </c>
      <c r="J545" s="11">
        <v>1</v>
      </c>
      <c r="K545" s="11">
        <f t="shared" si="64"/>
        <v>1</v>
      </c>
      <c r="L545" s="11" t="str">
        <f>'DA - 54'!H189</f>
        <v xml:space="preserve">Aerobar Bolts: Top 35mm; Bottom 15mm </v>
      </c>
    </row>
    <row r="546" spans="1:12" x14ac:dyDescent="0.25">
      <c r="A546" s="11">
        <f>'DA - 54'!C190</f>
        <v>500</v>
      </c>
      <c r="B546" s="11">
        <f>'DA - 54'!D190</f>
        <v>470</v>
      </c>
      <c r="C546" s="11">
        <f>'DA - 54'!E190</f>
        <v>550</v>
      </c>
      <c r="D546" s="11">
        <f>'DA - 54'!G190</f>
        <v>630</v>
      </c>
      <c r="E546" s="11" t="str">
        <f>'DA - 54'!B190</f>
        <v>Frame: 54 ----- Stem: 110x0  ----- Aluminium Aerobar + 40 + bridge + 10</v>
      </c>
      <c r="F546" s="11">
        <f t="shared" si="60"/>
        <v>1</v>
      </c>
      <c r="G546" s="11" t="str">
        <f t="shared" si="61"/>
        <v/>
      </c>
      <c r="H546" s="11">
        <f t="shared" si="62"/>
        <v>1</v>
      </c>
      <c r="I546" s="11">
        <f t="shared" si="63"/>
        <v>-30</v>
      </c>
      <c r="J546" s="11">
        <v>1</v>
      </c>
      <c r="K546" s="11">
        <f t="shared" si="64"/>
        <v>1</v>
      </c>
      <c r="L546" s="11" t="str">
        <f>'DA - 54'!H190</f>
        <v xml:space="preserve">Aerobar Bolts: Top 35mm; Bottom 15mm </v>
      </c>
    </row>
    <row r="547" spans="1:12" x14ac:dyDescent="0.25">
      <c r="A547" s="11">
        <f>'DA - 54'!C191</f>
        <v>500</v>
      </c>
      <c r="B547" s="11">
        <f>'DA - 54'!D191</f>
        <v>470</v>
      </c>
      <c r="C547" s="11">
        <f>'DA - 54'!E191</f>
        <v>550</v>
      </c>
      <c r="D547" s="11">
        <f>'DA - 54'!G191</f>
        <v>635</v>
      </c>
      <c r="E547" s="11" t="str">
        <f>'DA - 54'!B191</f>
        <v>Frame: 54 ----- Stem: 110x0  ----- Aluminium Aerobar + 40 + bridge + 10 + 5</v>
      </c>
      <c r="F547" s="11">
        <f t="shared" si="60"/>
        <v>1</v>
      </c>
      <c r="G547" s="11" t="str">
        <f t="shared" si="61"/>
        <v/>
      </c>
      <c r="H547" s="11">
        <f t="shared" si="62"/>
        <v>1</v>
      </c>
      <c r="I547" s="11">
        <f t="shared" si="63"/>
        <v>-30</v>
      </c>
      <c r="J547" s="11">
        <v>1</v>
      </c>
      <c r="K547" s="11">
        <f t="shared" si="64"/>
        <v>1</v>
      </c>
      <c r="L547" s="11" t="str">
        <f>'DA - 54'!H191</f>
        <v xml:space="preserve">Aerobar Bolts: Top 35mm; Bottom 25mm </v>
      </c>
    </row>
    <row r="548" spans="1:12" x14ac:dyDescent="0.25">
      <c r="A548" s="11">
        <f>'DA - 51'!C12</f>
        <v>435</v>
      </c>
      <c r="B548" s="11">
        <f>'DA - 51'!D12</f>
        <v>405</v>
      </c>
      <c r="C548" s="11">
        <f>'DA - 51'!E12</f>
        <v>485</v>
      </c>
      <c r="D548" s="11">
        <f>'DA - 51'!G12</f>
        <v>0</v>
      </c>
      <c r="E548" s="11" t="str">
        <f>'DA - 51'!B12</f>
        <v>Frame: 51 ----- Stem: 70x30  ----- Carbon Aerobar</v>
      </c>
      <c r="F548" s="11">
        <f t="shared" si="60"/>
        <v>1</v>
      </c>
      <c r="G548" s="11" t="str">
        <f t="shared" si="61"/>
        <v/>
      </c>
      <c r="H548" s="11" t="str">
        <f t="shared" si="62"/>
        <v/>
      </c>
      <c r="I548" s="11">
        <f t="shared" si="63"/>
        <v>35</v>
      </c>
      <c r="J548" s="11">
        <v>1</v>
      </c>
      <c r="K548" s="11">
        <f t="shared" si="64"/>
        <v>1</v>
      </c>
      <c r="L548" s="11" t="str">
        <f>'DA - 51'!H12</f>
        <v xml:space="preserve">Aerobar Bolts: Top N/A; Bottom N/A </v>
      </c>
    </row>
    <row r="549" spans="1:12" x14ac:dyDescent="0.25">
      <c r="A549" s="11">
        <f>'DA - 51'!C13</f>
        <v>435</v>
      </c>
      <c r="B549" s="11">
        <f>'DA - 51'!D13</f>
        <v>405</v>
      </c>
      <c r="C549" s="11">
        <f>'DA - 51'!E13</f>
        <v>485</v>
      </c>
      <c r="D549" s="11">
        <f>'DA - 51'!G13</f>
        <v>585</v>
      </c>
      <c r="E549" s="11" t="str">
        <f>'DA - 51'!B13</f>
        <v>Frame: 51 ----- Stem: 70x30  ----- Carbon Aerobar + 5</v>
      </c>
      <c r="F549" s="11">
        <f t="shared" si="60"/>
        <v>1</v>
      </c>
      <c r="G549" s="11" t="str">
        <f t="shared" si="61"/>
        <v/>
      </c>
      <c r="H549" s="11" t="str">
        <f t="shared" si="62"/>
        <v/>
      </c>
      <c r="I549" s="11">
        <f t="shared" si="63"/>
        <v>35</v>
      </c>
      <c r="J549" s="11">
        <v>1</v>
      </c>
      <c r="K549" s="11">
        <f t="shared" si="64"/>
        <v>1</v>
      </c>
      <c r="L549" s="11" t="str">
        <f>'DA - 51'!H13</f>
        <v xml:space="preserve">Aerobar Bolts: Top 45mm; Bottom N/A </v>
      </c>
    </row>
    <row r="550" spans="1:12" x14ac:dyDescent="0.25">
      <c r="A550" s="11">
        <f>'DA - 51'!C14</f>
        <v>435</v>
      </c>
      <c r="B550" s="11">
        <f>'DA - 51'!D14</f>
        <v>405</v>
      </c>
      <c r="C550" s="11">
        <f>'DA - 51'!E14</f>
        <v>485</v>
      </c>
      <c r="D550" s="11">
        <f>'DA - 51'!G14</f>
        <v>590</v>
      </c>
      <c r="E550" s="11" t="str">
        <f>'DA - 51'!B14</f>
        <v>Frame: 51 ----- Stem: 70x30  ----- Carbon Aerobar + 10</v>
      </c>
      <c r="F550" s="11">
        <f t="shared" si="60"/>
        <v>1</v>
      </c>
      <c r="G550" s="11" t="str">
        <f t="shared" si="61"/>
        <v/>
      </c>
      <c r="H550" s="11" t="str">
        <f t="shared" si="62"/>
        <v/>
      </c>
      <c r="I550" s="11">
        <f t="shared" si="63"/>
        <v>35</v>
      </c>
      <c r="J550" s="11">
        <v>1</v>
      </c>
      <c r="K550" s="11">
        <f t="shared" si="64"/>
        <v>1</v>
      </c>
      <c r="L550" s="11" t="str">
        <f>'DA - 51'!H14</f>
        <v xml:space="preserve">Aerobar Bolts: Top 50mm; Bottom N/A </v>
      </c>
    </row>
    <row r="551" spans="1:12" x14ac:dyDescent="0.25">
      <c r="A551" s="11">
        <f>'DA - 51'!C15</f>
        <v>435</v>
      </c>
      <c r="B551" s="11">
        <f>'DA - 51'!D15</f>
        <v>405</v>
      </c>
      <c r="C551" s="11">
        <f>'DA - 51'!E15</f>
        <v>485</v>
      </c>
      <c r="D551" s="11">
        <f>'DA - 51'!G15</f>
        <v>595</v>
      </c>
      <c r="E551" s="11" t="str">
        <f>'DA - 51'!B15</f>
        <v>Frame: 51 ----- Stem: 70x30  ----- Carbon Aerobar + 5 + 10</v>
      </c>
      <c r="F551" s="11">
        <f t="shared" si="60"/>
        <v>1</v>
      </c>
      <c r="G551" s="11" t="str">
        <f t="shared" si="61"/>
        <v/>
      </c>
      <c r="H551" s="11" t="str">
        <f t="shared" si="62"/>
        <v/>
      </c>
      <c r="I551" s="11">
        <f t="shared" si="63"/>
        <v>35</v>
      </c>
      <c r="J551" s="11">
        <v>1</v>
      </c>
      <c r="K551" s="11">
        <f t="shared" si="64"/>
        <v>1</v>
      </c>
      <c r="L551" s="11" t="str">
        <f>'DA - 51'!H15</f>
        <v xml:space="preserve">Aerobar Bolts: Top 55mm; Bottom N/A </v>
      </c>
    </row>
    <row r="552" spans="1:12" x14ac:dyDescent="0.25">
      <c r="A552" s="11">
        <f>'DA - 51'!C16</f>
        <v>435</v>
      </c>
      <c r="B552" s="11">
        <f>'DA - 51'!D16</f>
        <v>405</v>
      </c>
      <c r="C552" s="11">
        <f>'DA - 51'!E16</f>
        <v>485</v>
      </c>
      <c r="D552" s="11">
        <f>'DA - 51'!G16</f>
        <v>600</v>
      </c>
      <c r="E552" s="11" t="str">
        <f>'DA - 51'!B16</f>
        <v>Frame: 51 ----- Stem: 70x30  ----- Carbon Aerobar + 20</v>
      </c>
      <c r="F552" s="11">
        <f t="shared" si="60"/>
        <v>1</v>
      </c>
      <c r="G552" s="11" t="str">
        <f t="shared" si="61"/>
        <v/>
      </c>
      <c r="H552" s="11" t="str">
        <f t="shared" si="62"/>
        <v/>
      </c>
      <c r="I552" s="11">
        <f t="shared" si="63"/>
        <v>35</v>
      </c>
      <c r="J552" s="11">
        <v>1</v>
      </c>
      <c r="K552" s="11">
        <f t="shared" si="64"/>
        <v>1</v>
      </c>
      <c r="L552" s="11" t="str">
        <f>'DA - 51'!H16</f>
        <v xml:space="preserve">Aerobar Bolts: Top 20mm; Bottom 30mm </v>
      </c>
    </row>
    <row r="553" spans="1:12" x14ac:dyDescent="0.25">
      <c r="A553" s="11">
        <f>'DA - 51'!C17</f>
        <v>435</v>
      </c>
      <c r="B553" s="11">
        <f>'DA - 51'!D17</f>
        <v>405</v>
      </c>
      <c r="C553" s="11">
        <f>'DA - 51'!E17</f>
        <v>485</v>
      </c>
      <c r="D553" s="11">
        <f>'DA - 51'!G17</f>
        <v>605</v>
      </c>
      <c r="E553" s="11" t="str">
        <f>'DA - 51'!B17</f>
        <v>Frame: 51 ----- Stem: 70x30  ----- Carbon Aerobar + 20 + 5</v>
      </c>
      <c r="F553" s="11">
        <f t="shared" si="60"/>
        <v>1</v>
      </c>
      <c r="G553" s="11" t="str">
        <f t="shared" si="61"/>
        <v/>
      </c>
      <c r="H553" s="11" t="str">
        <f t="shared" si="62"/>
        <v/>
      </c>
      <c r="I553" s="11">
        <f t="shared" si="63"/>
        <v>35</v>
      </c>
      <c r="J553" s="11">
        <v>1</v>
      </c>
      <c r="K553" s="11">
        <f t="shared" si="64"/>
        <v>1</v>
      </c>
      <c r="L553" s="11" t="str">
        <f>'DA - 51'!H17</f>
        <v xml:space="preserve">Aerobar Bolts: Top 25mm; Bottom 30mm </v>
      </c>
    </row>
    <row r="554" spans="1:12" x14ac:dyDescent="0.25">
      <c r="A554" s="11">
        <f>'DA - 51'!C18</f>
        <v>435</v>
      </c>
      <c r="B554" s="11">
        <f>'DA - 51'!D18</f>
        <v>405</v>
      </c>
      <c r="C554" s="11">
        <f>'DA - 51'!E18</f>
        <v>485</v>
      </c>
      <c r="D554" s="11">
        <f>'DA - 51'!G18</f>
        <v>605</v>
      </c>
      <c r="E554" s="11" t="str">
        <f>'DA - 51'!B18</f>
        <v>Frame: 51 ----- Stem: 70x30  ----- Carbon Aerobar + 20 + bridge</v>
      </c>
      <c r="F554" s="11">
        <f t="shared" si="60"/>
        <v>1</v>
      </c>
      <c r="G554" s="11" t="str">
        <f t="shared" si="61"/>
        <v/>
      </c>
      <c r="H554" s="11" t="str">
        <f t="shared" si="62"/>
        <v/>
      </c>
      <c r="I554" s="11">
        <f t="shared" si="63"/>
        <v>35</v>
      </c>
      <c r="J554" s="11">
        <v>1</v>
      </c>
      <c r="K554" s="11">
        <f t="shared" si="64"/>
        <v>1</v>
      </c>
      <c r="L554" s="11" t="str">
        <f>'DA - 51'!H18</f>
        <v xml:space="preserve">Aerobar Bolts: Top 25mm; Bottom 30mm </v>
      </c>
    </row>
    <row r="555" spans="1:12" x14ac:dyDescent="0.25">
      <c r="A555" s="11">
        <f>'DA - 51'!C19</f>
        <v>435</v>
      </c>
      <c r="B555" s="11">
        <f>'DA - 51'!D19</f>
        <v>405</v>
      </c>
      <c r="C555" s="11">
        <f>'DA - 51'!E19</f>
        <v>485</v>
      </c>
      <c r="D555" s="11">
        <f>'DA - 51'!G19</f>
        <v>610</v>
      </c>
      <c r="E555" s="11" t="str">
        <f>'DA - 51'!B19</f>
        <v>Frame: 51 ----- Stem: 70x30  ----- Carbon Aerobar + 30</v>
      </c>
      <c r="F555" s="11">
        <f t="shared" si="60"/>
        <v>1</v>
      </c>
      <c r="G555" s="11">
        <f t="shared" si="61"/>
        <v>1</v>
      </c>
      <c r="H555" s="11" t="str">
        <f t="shared" si="62"/>
        <v/>
      </c>
      <c r="I555" s="11">
        <f t="shared" si="63"/>
        <v>35</v>
      </c>
      <c r="J555" s="11">
        <v>1</v>
      </c>
      <c r="K555" s="11">
        <f t="shared" si="64"/>
        <v>1</v>
      </c>
      <c r="L555" s="11" t="str">
        <f>'DA - 51'!H19</f>
        <v xml:space="preserve">Aerobar Bolts: Top 25mm; Bottom 30mm </v>
      </c>
    </row>
    <row r="556" spans="1:12" x14ac:dyDescent="0.25">
      <c r="A556" s="11">
        <f>'DA - 51'!C20</f>
        <v>435</v>
      </c>
      <c r="B556" s="11">
        <f>'DA - 51'!D20</f>
        <v>405</v>
      </c>
      <c r="C556" s="11">
        <f>'DA - 51'!E20</f>
        <v>485</v>
      </c>
      <c r="D556" s="11">
        <f>'DA - 51'!G20</f>
        <v>610</v>
      </c>
      <c r="E556" s="11" t="str">
        <f>'DA - 51'!B20</f>
        <v>Frame: 51 ----- Stem: 70x30  ----- Carbon Aerobar + 20 + bridge + 5</v>
      </c>
      <c r="F556" s="11">
        <f t="shared" si="60"/>
        <v>1</v>
      </c>
      <c r="G556" s="11" t="str">
        <f t="shared" si="61"/>
        <v/>
      </c>
      <c r="H556" s="11" t="str">
        <f t="shared" si="62"/>
        <v/>
      </c>
      <c r="I556" s="11">
        <f t="shared" si="63"/>
        <v>35</v>
      </c>
      <c r="J556" s="11">
        <v>1</v>
      </c>
      <c r="K556" s="11">
        <f t="shared" si="64"/>
        <v>1</v>
      </c>
      <c r="L556" s="11" t="str">
        <f>'DA - 51'!H20</f>
        <v xml:space="preserve">Aerobar Bolts: Top 30mm; Bottom 30mm </v>
      </c>
    </row>
    <row r="557" spans="1:12" x14ac:dyDescent="0.25">
      <c r="A557" s="11">
        <f>'DA - 51'!C21</f>
        <v>435</v>
      </c>
      <c r="B557" s="11">
        <f>'DA - 51'!D21</f>
        <v>405</v>
      </c>
      <c r="C557" s="11">
        <f>'DA - 51'!E21</f>
        <v>485</v>
      </c>
      <c r="D557" s="11">
        <f>'DA - 51'!G21</f>
        <v>615</v>
      </c>
      <c r="E557" s="11" t="str">
        <f>'DA - 51'!B21</f>
        <v>Frame: 51 ----- Stem: 70x30  ----- Carbon Aerobar + 30 + bridge</v>
      </c>
      <c r="F557" s="11">
        <f t="shared" si="60"/>
        <v>1</v>
      </c>
      <c r="G557" s="11">
        <f t="shared" si="61"/>
        <v>1</v>
      </c>
      <c r="H557" s="11" t="str">
        <f t="shared" si="62"/>
        <v/>
      </c>
      <c r="I557" s="11">
        <f t="shared" si="63"/>
        <v>35</v>
      </c>
      <c r="J557" s="11">
        <v>1</v>
      </c>
      <c r="K557" s="11">
        <f t="shared" si="64"/>
        <v>1</v>
      </c>
      <c r="L557" s="11" t="str">
        <f>'DA - 51'!H21</f>
        <v xml:space="preserve">Aerobar Bolts: Top 30mm; Bottom 30mm </v>
      </c>
    </row>
    <row r="558" spans="1:12" x14ac:dyDescent="0.25">
      <c r="A558" s="11">
        <f>'DA - 51'!C22</f>
        <v>435</v>
      </c>
      <c r="B558" s="11">
        <f>'DA - 51'!D22</f>
        <v>405</v>
      </c>
      <c r="C558" s="11">
        <f>'DA - 51'!E22</f>
        <v>485</v>
      </c>
      <c r="D558" s="11">
        <f>'DA - 51'!G22</f>
        <v>620</v>
      </c>
      <c r="E558" s="11" t="str">
        <f>'DA - 51'!B22</f>
        <v>Frame: 51 ----- Stem: 70x30  ----- Carbon Aerobar + 30 + bridge + 5</v>
      </c>
      <c r="F558" s="11">
        <f t="shared" si="60"/>
        <v>1</v>
      </c>
      <c r="G558" s="11">
        <f t="shared" si="61"/>
        <v>1</v>
      </c>
      <c r="H558" s="11" t="str">
        <f t="shared" si="62"/>
        <v/>
      </c>
      <c r="I558" s="11">
        <f t="shared" si="63"/>
        <v>35</v>
      </c>
      <c r="J558" s="11">
        <v>1</v>
      </c>
      <c r="K558" s="11">
        <f t="shared" si="64"/>
        <v>1</v>
      </c>
      <c r="L558" s="11" t="str">
        <f>'DA - 51'!H22</f>
        <v xml:space="preserve">Aerobar Bolts: Top 35mm; Bottom 30mm </v>
      </c>
    </row>
    <row r="559" spans="1:12" x14ac:dyDescent="0.25">
      <c r="A559" s="11">
        <f>'DA - 51'!C23</f>
        <v>435</v>
      </c>
      <c r="B559" s="11">
        <f>'DA - 51'!D23</f>
        <v>405</v>
      </c>
      <c r="C559" s="11">
        <f>'DA - 51'!E23</f>
        <v>485</v>
      </c>
      <c r="D559" s="11">
        <f>'DA - 51'!G23</f>
        <v>625</v>
      </c>
      <c r="E559" s="11" t="str">
        <f>'DA - 51'!B23</f>
        <v>Frame: 51 ----- Stem: 70x30  ----- Carbon Aerobar + 40 + bridge</v>
      </c>
      <c r="F559" s="11">
        <f t="shared" si="60"/>
        <v>1</v>
      </c>
      <c r="G559" s="11" t="str">
        <f t="shared" si="61"/>
        <v/>
      </c>
      <c r="H559" s="11">
        <f t="shared" si="62"/>
        <v>1</v>
      </c>
      <c r="I559" s="11">
        <f t="shared" si="63"/>
        <v>35</v>
      </c>
      <c r="J559" s="11">
        <v>1</v>
      </c>
      <c r="K559" s="11">
        <f t="shared" si="64"/>
        <v>1</v>
      </c>
      <c r="L559" s="11" t="str">
        <f>'DA - 51'!H23</f>
        <v xml:space="preserve">Aerobar Bolts: Top 35mm; Bottom 30mm </v>
      </c>
    </row>
    <row r="560" spans="1:12" x14ac:dyDescent="0.25">
      <c r="A560" s="11">
        <f>'DA - 51'!C24</f>
        <v>435</v>
      </c>
      <c r="B560" s="11">
        <f>'DA - 51'!D24</f>
        <v>405</v>
      </c>
      <c r="C560" s="11">
        <f>'DA - 51'!E24</f>
        <v>485</v>
      </c>
      <c r="D560" s="11">
        <f>'DA - 51'!G24</f>
        <v>630</v>
      </c>
      <c r="E560" s="11" t="str">
        <f>'DA - 51'!B24</f>
        <v>Frame: 51 ----- Stem: 70x30  ----- Carbon Aerobar + 40 + bridge + 5</v>
      </c>
      <c r="F560" s="11">
        <f t="shared" si="60"/>
        <v>1</v>
      </c>
      <c r="G560" s="11" t="str">
        <f t="shared" si="61"/>
        <v/>
      </c>
      <c r="H560" s="11">
        <f t="shared" si="62"/>
        <v>1</v>
      </c>
      <c r="I560" s="11">
        <f t="shared" si="63"/>
        <v>35</v>
      </c>
      <c r="J560" s="11">
        <v>1</v>
      </c>
      <c r="K560" s="11">
        <f t="shared" si="64"/>
        <v>1</v>
      </c>
      <c r="L560" s="11" t="str">
        <f>'DA - 51'!H24</f>
        <v xml:space="preserve">Aerobar Bolts: Top 35mm; Bottom 30mm </v>
      </c>
    </row>
    <row r="561" spans="1:12" x14ac:dyDescent="0.25">
      <c r="A561" s="11">
        <f>'DA - 51'!C25</f>
        <v>435</v>
      </c>
      <c r="B561" s="11">
        <f>'DA - 51'!D25</f>
        <v>405</v>
      </c>
      <c r="C561" s="11">
        <f>'DA - 51'!E25</f>
        <v>485</v>
      </c>
      <c r="D561" s="11">
        <f>'DA - 51'!G25</f>
        <v>635</v>
      </c>
      <c r="E561" s="11" t="str">
        <f>'DA - 51'!B25</f>
        <v>Frame: 51 ----- Stem: 70x30  ----- Carbon Aerobar + 40 + bridge + 10</v>
      </c>
      <c r="F561" s="11">
        <f t="shared" si="60"/>
        <v>1</v>
      </c>
      <c r="G561" s="11" t="str">
        <f t="shared" si="61"/>
        <v/>
      </c>
      <c r="H561" s="11">
        <f t="shared" si="62"/>
        <v>1</v>
      </c>
      <c r="I561" s="11">
        <f t="shared" si="63"/>
        <v>35</v>
      </c>
      <c r="J561" s="11">
        <v>1</v>
      </c>
      <c r="K561" s="11">
        <f t="shared" si="64"/>
        <v>1</v>
      </c>
      <c r="L561" s="11" t="str">
        <f>'DA - 51'!H25</f>
        <v xml:space="preserve">Aerobar Bolts: Top 40mm; Bottom 30mm </v>
      </c>
    </row>
    <row r="562" spans="1:12" x14ac:dyDescent="0.25">
      <c r="A562" s="11">
        <f>'DA - 51'!C26</f>
        <v>435</v>
      </c>
      <c r="B562" s="11">
        <f>'DA - 51'!D26</f>
        <v>405</v>
      </c>
      <c r="C562" s="11">
        <f>'DA - 51'!E26</f>
        <v>485</v>
      </c>
      <c r="D562" s="11">
        <f>'DA - 51'!G26</f>
        <v>640</v>
      </c>
      <c r="E562" s="11" t="str">
        <f>'DA - 51'!B26</f>
        <v>Frame: 51 ----- Stem: 70x30  ----- Carbon Aerobar + 40 + bridge + 10 + 5</v>
      </c>
      <c r="F562" s="11">
        <f t="shared" si="60"/>
        <v>1</v>
      </c>
      <c r="G562" s="11" t="str">
        <f t="shared" si="61"/>
        <v/>
      </c>
      <c r="H562" s="11">
        <f t="shared" si="62"/>
        <v>1</v>
      </c>
      <c r="I562" s="11">
        <f t="shared" si="63"/>
        <v>35</v>
      </c>
      <c r="J562" s="11">
        <v>1</v>
      </c>
      <c r="K562" s="11">
        <f t="shared" si="64"/>
        <v>1</v>
      </c>
      <c r="L562" s="11" t="str">
        <f>'DA - 51'!H26</f>
        <v xml:space="preserve">Aerobar Bolts: Top 45mm; Bottom 30mm </v>
      </c>
    </row>
    <row r="563" spans="1:12" x14ac:dyDescent="0.25">
      <c r="A563" s="11">
        <f>'DA - 51'!C27</f>
        <v>425</v>
      </c>
      <c r="B563" s="11">
        <f>'DA - 51'!D27</f>
        <v>395</v>
      </c>
      <c r="C563" s="11">
        <f>'DA - 51'!E27</f>
        <v>475</v>
      </c>
      <c r="D563" s="11">
        <f>'DA - 51'!G27</f>
        <v>0</v>
      </c>
      <c r="E563" s="11" t="str">
        <f>'DA - 51'!B27</f>
        <v>Frame: 51 ----- Stem: 70x60  ----- Carbon Aerobar</v>
      </c>
      <c r="F563" s="11">
        <f t="shared" si="60"/>
        <v>1</v>
      </c>
      <c r="G563" s="11" t="str">
        <f t="shared" si="61"/>
        <v/>
      </c>
      <c r="H563" s="11" t="str">
        <f t="shared" si="62"/>
        <v/>
      </c>
      <c r="I563" s="11">
        <f t="shared" si="63"/>
        <v>45</v>
      </c>
      <c r="J563" s="11">
        <v>1</v>
      </c>
      <c r="K563" s="11">
        <f t="shared" si="64"/>
        <v>1</v>
      </c>
      <c r="L563" s="11" t="str">
        <f>'DA - 51'!H27</f>
        <v xml:space="preserve">Aerobar Bolts: Top N/A; Bottom N/A </v>
      </c>
    </row>
    <row r="564" spans="1:12" x14ac:dyDescent="0.25">
      <c r="A564" s="11">
        <f>'DA - 51'!C28</f>
        <v>425</v>
      </c>
      <c r="B564" s="11">
        <f>'DA - 51'!D28</f>
        <v>395</v>
      </c>
      <c r="C564" s="11">
        <f>'DA - 51'!E28</f>
        <v>475</v>
      </c>
      <c r="D564" s="11">
        <f>'DA - 51'!G28</f>
        <v>615</v>
      </c>
      <c r="E564" s="11" t="str">
        <f>'DA - 51'!B28</f>
        <v>Frame: 51 ----- Stem: 70x60  ----- Carbon Aerobar + 5</v>
      </c>
      <c r="F564" s="11">
        <f t="shared" si="60"/>
        <v>1</v>
      </c>
      <c r="G564" s="11" t="str">
        <f t="shared" si="61"/>
        <v/>
      </c>
      <c r="H564" s="11" t="str">
        <f t="shared" si="62"/>
        <v/>
      </c>
      <c r="I564" s="11">
        <f t="shared" si="63"/>
        <v>45</v>
      </c>
      <c r="J564" s="11">
        <v>1</v>
      </c>
      <c r="K564" s="11">
        <f t="shared" si="64"/>
        <v>1</v>
      </c>
      <c r="L564" s="11" t="str">
        <f>'DA - 51'!H28</f>
        <v xml:space="preserve">Aerobar Bolts: Top 45mm; Bottom N/A </v>
      </c>
    </row>
    <row r="565" spans="1:12" x14ac:dyDescent="0.25">
      <c r="A565" s="11">
        <f>'DA - 51'!C29</f>
        <v>425</v>
      </c>
      <c r="B565" s="11">
        <f>'DA - 51'!D29</f>
        <v>395</v>
      </c>
      <c r="C565" s="11">
        <f>'DA - 51'!E29</f>
        <v>475</v>
      </c>
      <c r="D565" s="11">
        <f>'DA - 51'!G29</f>
        <v>620</v>
      </c>
      <c r="E565" s="11" t="str">
        <f>'DA - 51'!B29</f>
        <v>Frame: 51 ----- Stem: 70x60  ----- Carbon Aerobar + 10</v>
      </c>
      <c r="F565" s="11">
        <f t="shared" si="60"/>
        <v>1</v>
      </c>
      <c r="G565" s="11" t="str">
        <f t="shared" si="61"/>
        <v/>
      </c>
      <c r="H565" s="11" t="str">
        <f t="shared" si="62"/>
        <v/>
      </c>
      <c r="I565" s="11">
        <f t="shared" si="63"/>
        <v>45</v>
      </c>
      <c r="J565" s="11">
        <v>1</v>
      </c>
      <c r="K565" s="11">
        <f t="shared" si="64"/>
        <v>1</v>
      </c>
      <c r="L565" s="11" t="str">
        <f>'DA - 51'!H29</f>
        <v xml:space="preserve">Aerobar Bolts: Top 50mm; Bottom N/A </v>
      </c>
    </row>
    <row r="566" spans="1:12" x14ac:dyDescent="0.25">
      <c r="A566" s="11">
        <f>'DA - 51'!C30</f>
        <v>425</v>
      </c>
      <c r="B566" s="11">
        <f>'DA - 51'!D30</f>
        <v>395</v>
      </c>
      <c r="C566" s="11">
        <f>'DA - 51'!E30</f>
        <v>475</v>
      </c>
      <c r="D566" s="11">
        <f>'DA - 51'!G30</f>
        <v>625</v>
      </c>
      <c r="E566" s="11" t="str">
        <f>'DA - 51'!B30</f>
        <v>Frame: 51 ----- Stem: 70x60  ----- Carbon Aerobar + 5 + 10</v>
      </c>
      <c r="F566" s="11">
        <f t="shared" si="60"/>
        <v>1</v>
      </c>
      <c r="G566" s="11" t="str">
        <f t="shared" si="61"/>
        <v/>
      </c>
      <c r="H566" s="11" t="str">
        <f t="shared" si="62"/>
        <v/>
      </c>
      <c r="I566" s="11">
        <f t="shared" si="63"/>
        <v>45</v>
      </c>
      <c r="J566" s="11">
        <v>1</v>
      </c>
      <c r="K566" s="11">
        <f t="shared" si="64"/>
        <v>1</v>
      </c>
      <c r="L566" s="11" t="str">
        <f>'DA - 51'!H30</f>
        <v xml:space="preserve">Aerobar Bolts: Top 55mm; Bottom N/A </v>
      </c>
    </row>
    <row r="567" spans="1:12" x14ac:dyDescent="0.25">
      <c r="A567" s="11">
        <f>'DA - 51'!C31</f>
        <v>425</v>
      </c>
      <c r="B567" s="11">
        <f>'DA - 51'!D31</f>
        <v>395</v>
      </c>
      <c r="C567" s="11">
        <f>'DA - 51'!E31</f>
        <v>475</v>
      </c>
      <c r="D567" s="11">
        <f>'DA - 51'!G31</f>
        <v>630</v>
      </c>
      <c r="E567" s="11" t="str">
        <f>'DA - 51'!B31</f>
        <v>Frame: 51 ----- Stem: 70x60  ----- Carbon Aerobar + 20</v>
      </c>
      <c r="F567" s="11">
        <f t="shared" si="60"/>
        <v>1</v>
      </c>
      <c r="G567" s="11" t="str">
        <f t="shared" si="61"/>
        <v/>
      </c>
      <c r="H567" s="11" t="str">
        <f t="shared" si="62"/>
        <v/>
      </c>
      <c r="I567" s="11">
        <f t="shared" si="63"/>
        <v>45</v>
      </c>
      <c r="J567" s="11">
        <v>1</v>
      </c>
      <c r="K567" s="11">
        <f t="shared" si="64"/>
        <v>1</v>
      </c>
      <c r="L567" s="11" t="str">
        <f>'DA - 51'!H31</f>
        <v xml:space="preserve">Aerobar Bolts: Top 20mm; Bottom 30mm </v>
      </c>
    </row>
    <row r="568" spans="1:12" x14ac:dyDescent="0.25">
      <c r="A568" s="11">
        <f>'DA - 51'!C32</f>
        <v>425</v>
      </c>
      <c r="B568" s="11">
        <f>'DA - 51'!D32</f>
        <v>395</v>
      </c>
      <c r="C568" s="11">
        <f>'DA - 51'!E32</f>
        <v>475</v>
      </c>
      <c r="D568" s="11">
        <f>'DA - 51'!G32</f>
        <v>635</v>
      </c>
      <c r="E568" s="11" t="str">
        <f>'DA - 51'!B32</f>
        <v>Frame: 51 ----- Stem: 70x60  ----- Carbon Aerobar + 20 + 5</v>
      </c>
      <c r="F568" s="11">
        <f t="shared" si="60"/>
        <v>1</v>
      </c>
      <c r="G568" s="11" t="str">
        <f t="shared" si="61"/>
        <v/>
      </c>
      <c r="H568" s="11" t="str">
        <f t="shared" si="62"/>
        <v/>
      </c>
      <c r="I568" s="11">
        <f t="shared" si="63"/>
        <v>45</v>
      </c>
      <c r="J568" s="11">
        <v>1</v>
      </c>
      <c r="K568" s="11">
        <f t="shared" si="64"/>
        <v>1</v>
      </c>
      <c r="L568" s="11" t="str">
        <f>'DA - 51'!H32</f>
        <v xml:space="preserve">Aerobar Bolts: Top 25mm; Bottom 30mm </v>
      </c>
    </row>
    <row r="569" spans="1:12" x14ac:dyDescent="0.25">
      <c r="A569" s="11">
        <f>'DA - 51'!C33</f>
        <v>425</v>
      </c>
      <c r="B569" s="11">
        <f>'DA - 51'!D33</f>
        <v>395</v>
      </c>
      <c r="C569" s="11">
        <f>'DA - 51'!E33</f>
        <v>475</v>
      </c>
      <c r="D569" s="11">
        <f>'DA - 51'!G33</f>
        <v>635</v>
      </c>
      <c r="E569" s="11" t="str">
        <f>'DA - 51'!B33</f>
        <v>Frame: 51 ----- Stem: 70x60  ----- Carbon Aerobar + 20 + bridge</v>
      </c>
      <c r="F569" s="11">
        <f t="shared" si="60"/>
        <v>1</v>
      </c>
      <c r="G569" s="11" t="str">
        <f t="shared" si="61"/>
        <v/>
      </c>
      <c r="H569" s="11" t="str">
        <f t="shared" si="62"/>
        <v/>
      </c>
      <c r="I569" s="11">
        <f t="shared" si="63"/>
        <v>45</v>
      </c>
      <c r="J569" s="11">
        <v>1</v>
      </c>
      <c r="K569" s="11">
        <f t="shared" si="64"/>
        <v>1</v>
      </c>
      <c r="L569" s="11" t="str">
        <f>'DA - 51'!H33</f>
        <v xml:space="preserve">Aerobar Bolts: Top 25mm; Bottom 30mm </v>
      </c>
    </row>
    <row r="570" spans="1:12" x14ac:dyDescent="0.25">
      <c r="A570" s="11">
        <f>'DA - 51'!C34</f>
        <v>425</v>
      </c>
      <c r="B570" s="11">
        <f>'DA - 51'!D34</f>
        <v>395</v>
      </c>
      <c r="C570" s="11">
        <f>'DA - 51'!E34</f>
        <v>475</v>
      </c>
      <c r="D570" s="11">
        <f>'DA - 51'!G34</f>
        <v>640</v>
      </c>
      <c r="E570" s="11" t="str">
        <f>'DA - 51'!B34</f>
        <v>Frame: 51 ----- Stem: 70x60  ----- Carbon Aerobar + 30</v>
      </c>
      <c r="F570" s="11">
        <f t="shared" si="60"/>
        <v>1</v>
      </c>
      <c r="G570" s="11">
        <f t="shared" si="61"/>
        <v>1</v>
      </c>
      <c r="H570" s="11" t="str">
        <f t="shared" si="62"/>
        <v/>
      </c>
      <c r="I570" s="11">
        <f t="shared" si="63"/>
        <v>45</v>
      </c>
      <c r="J570" s="11">
        <v>1</v>
      </c>
      <c r="K570" s="11">
        <f t="shared" si="64"/>
        <v>1</v>
      </c>
      <c r="L570" s="11" t="str">
        <f>'DA - 51'!H34</f>
        <v xml:space="preserve">Aerobar Bolts: Top 25mm; Bottom 30mm </v>
      </c>
    </row>
    <row r="571" spans="1:12" x14ac:dyDescent="0.25">
      <c r="A571" s="11">
        <f>'DA - 51'!C35</f>
        <v>425</v>
      </c>
      <c r="B571" s="11">
        <f>'DA - 51'!D35</f>
        <v>395</v>
      </c>
      <c r="C571" s="11">
        <f>'DA - 51'!E35</f>
        <v>475</v>
      </c>
      <c r="D571" s="11">
        <f>'DA - 51'!G35</f>
        <v>640</v>
      </c>
      <c r="E571" s="11" t="str">
        <f>'DA - 51'!B35</f>
        <v>Frame: 51 ----- Stem: 70x60  ----- Carbon Aerobar + 20 + bridge + 5</v>
      </c>
      <c r="F571" s="11">
        <f t="shared" si="60"/>
        <v>1</v>
      </c>
      <c r="G571" s="11" t="str">
        <f t="shared" si="61"/>
        <v/>
      </c>
      <c r="H571" s="11" t="str">
        <f t="shared" si="62"/>
        <v/>
      </c>
      <c r="I571" s="11">
        <f t="shared" si="63"/>
        <v>45</v>
      </c>
      <c r="J571" s="11">
        <v>1</v>
      </c>
      <c r="K571" s="11">
        <f t="shared" si="64"/>
        <v>1</v>
      </c>
      <c r="L571" s="11" t="str">
        <f>'DA - 51'!H35</f>
        <v xml:space="preserve">Aerobar Bolts: Top 30mm; Bottom 30mm </v>
      </c>
    </row>
    <row r="572" spans="1:12" x14ac:dyDescent="0.25">
      <c r="A572" s="11">
        <f>'DA - 51'!C36</f>
        <v>425</v>
      </c>
      <c r="B572" s="11">
        <f>'DA - 51'!D36</f>
        <v>395</v>
      </c>
      <c r="C572" s="11">
        <f>'DA - 51'!E36</f>
        <v>475</v>
      </c>
      <c r="D572" s="11">
        <f>'DA - 51'!G36</f>
        <v>645</v>
      </c>
      <c r="E572" s="11" t="str">
        <f>'DA - 51'!B36</f>
        <v>Frame: 51 ----- Stem: 70x60  ----- Carbon Aerobar + 30 + bridge</v>
      </c>
      <c r="F572" s="11">
        <f t="shared" si="60"/>
        <v>1</v>
      </c>
      <c r="G572" s="11">
        <f t="shared" si="61"/>
        <v>1</v>
      </c>
      <c r="H572" s="11" t="str">
        <f t="shared" si="62"/>
        <v/>
      </c>
      <c r="I572" s="11">
        <f t="shared" si="63"/>
        <v>45</v>
      </c>
      <c r="J572" s="11">
        <v>1</v>
      </c>
      <c r="K572" s="11">
        <f t="shared" si="64"/>
        <v>1</v>
      </c>
      <c r="L572" s="11" t="str">
        <f>'DA - 51'!H36</f>
        <v xml:space="preserve">Aerobar Bolts: Top 30mm; Bottom 30mm </v>
      </c>
    </row>
    <row r="573" spans="1:12" x14ac:dyDescent="0.25">
      <c r="A573" s="11">
        <f>'DA - 51'!C37</f>
        <v>425</v>
      </c>
      <c r="B573" s="11">
        <f>'DA - 51'!D37</f>
        <v>395</v>
      </c>
      <c r="C573" s="11">
        <f>'DA - 51'!E37</f>
        <v>475</v>
      </c>
      <c r="D573" s="11">
        <f>'DA - 51'!G37</f>
        <v>650</v>
      </c>
      <c r="E573" s="11" t="str">
        <f>'DA - 51'!B37</f>
        <v>Frame: 51 ----- Stem: 70x60  ----- Carbon Aerobar + 30 + bridge + 5</v>
      </c>
      <c r="F573" s="11">
        <f t="shared" si="60"/>
        <v>1</v>
      </c>
      <c r="G573" s="11">
        <f t="shared" si="61"/>
        <v>1</v>
      </c>
      <c r="H573" s="11" t="str">
        <f t="shared" si="62"/>
        <v/>
      </c>
      <c r="I573" s="11">
        <f t="shared" si="63"/>
        <v>45</v>
      </c>
      <c r="J573" s="11">
        <v>1</v>
      </c>
      <c r="K573" s="11">
        <f t="shared" si="64"/>
        <v>1</v>
      </c>
      <c r="L573" s="11" t="str">
        <f>'DA - 51'!H37</f>
        <v xml:space="preserve">Aerobar Bolts: Top 35mm; Bottom 30mm </v>
      </c>
    </row>
    <row r="574" spans="1:12" x14ac:dyDescent="0.25">
      <c r="A574" s="11">
        <f>'DA - 51'!C38</f>
        <v>425</v>
      </c>
      <c r="B574" s="11">
        <f>'DA - 51'!D38</f>
        <v>395</v>
      </c>
      <c r="C574" s="11">
        <f>'DA - 51'!E38</f>
        <v>475</v>
      </c>
      <c r="D574" s="11">
        <f>'DA - 51'!G38</f>
        <v>655</v>
      </c>
      <c r="E574" s="11" t="str">
        <f>'DA - 51'!B38</f>
        <v>Frame: 51 ----- Stem: 70x60  ----- Carbon Aerobar + 40 + bridge</v>
      </c>
      <c r="F574" s="11">
        <f t="shared" si="60"/>
        <v>1</v>
      </c>
      <c r="G574" s="11" t="str">
        <f t="shared" si="61"/>
        <v/>
      </c>
      <c r="H574" s="11">
        <f t="shared" si="62"/>
        <v>1</v>
      </c>
      <c r="I574" s="11">
        <f t="shared" si="63"/>
        <v>45</v>
      </c>
      <c r="J574" s="11">
        <v>1</v>
      </c>
      <c r="K574" s="11">
        <f t="shared" si="64"/>
        <v>1</v>
      </c>
      <c r="L574" s="11" t="str">
        <f>'DA - 51'!H38</f>
        <v xml:space="preserve">Aerobar Bolts: Top 35mm; Bottom 30mm </v>
      </c>
    </row>
    <row r="575" spans="1:12" x14ac:dyDescent="0.25">
      <c r="A575" s="11">
        <f>'DA - 51'!C39</f>
        <v>425</v>
      </c>
      <c r="B575" s="11">
        <f>'DA - 51'!D39</f>
        <v>395</v>
      </c>
      <c r="C575" s="11">
        <f>'DA - 51'!E39</f>
        <v>475</v>
      </c>
      <c r="D575" s="11">
        <f>'DA - 51'!G39</f>
        <v>660</v>
      </c>
      <c r="E575" s="11" t="str">
        <f>'DA - 51'!B39</f>
        <v>Frame: 51 ----- Stem: 70x60  ----- Carbon Aerobar + 40 + bridge + 5</v>
      </c>
      <c r="F575" s="11">
        <f t="shared" si="60"/>
        <v>1</v>
      </c>
      <c r="G575" s="11" t="str">
        <f t="shared" si="61"/>
        <v/>
      </c>
      <c r="H575" s="11">
        <f t="shared" si="62"/>
        <v>1</v>
      </c>
      <c r="I575" s="11">
        <f t="shared" si="63"/>
        <v>45</v>
      </c>
      <c r="J575" s="11">
        <v>1</v>
      </c>
      <c r="K575" s="11">
        <f t="shared" si="64"/>
        <v>1</v>
      </c>
      <c r="L575" s="11" t="str">
        <f>'DA - 51'!H39</f>
        <v xml:space="preserve">Aerobar Bolts: Top 35mm; Bottom 30mm </v>
      </c>
    </row>
    <row r="576" spans="1:12" x14ac:dyDescent="0.25">
      <c r="A576" s="11">
        <f>'DA - 51'!C40</f>
        <v>425</v>
      </c>
      <c r="B576" s="11">
        <f>'DA - 51'!D40</f>
        <v>395</v>
      </c>
      <c r="C576" s="11">
        <f>'DA - 51'!E40</f>
        <v>475</v>
      </c>
      <c r="D576" s="11">
        <f>'DA - 51'!G40</f>
        <v>665</v>
      </c>
      <c r="E576" s="11" t="str">
        <f>'DA - 51'!B40</f>
        <v>Frame: 51 ----- Stem: 70x60  ----- Carbon Aerobar + 40 + bridge + 10</v>
      </c>
      <c r="F576" s="11">
        <f t="shared" si="60"/>
        <v>1</v>
      </c>
      <c r="G576" s="11" t="str">
        <f t="shared" si="61"/>
        <v/>
      </c>
      <c r="H576" s="11">
        <f t="shared" si="62"/>
        <v>1</v>
      </c>
      <c r="I576" s="11">
        <f t="shared" si="63"/>
        <v>45</v>
      </c>
      <c r="J576" s="11">
        <v>1</v>
      </c>
      <c r="K576" s="11">
        <f t="shared" si="64"/>
        <v>1</v>
      </c>
      <c r="L576" s="11" t="str">
        <f>'DA - 51'!H40</f>
        <v xml:space="preserve">Aerobar Bolts: Top 40mm; Bottom 30mm </v>
      </c>
    </row>
    <row r="577" spans="1:12" x14ac:dyDescent="0.25">
      <c r="A577" s="11">
        <f>'DA - 51'!C41</f>
        <v>425</v>
      </c>
      <c r="B577" s="11">
        <f>'DA - 51'!D41</f>
        <v>395</v>
      </c>
      <c r="C577" s="11">
        <f>'DA - 51'!E41</f>
        <v>475</v>
      </c>
      <c r="D577" s="11">
        <f>'DA - 51'!G41</f>
        <v>670</v>
      </c>
      <c r="E577" s="11" t="str">
        <f>'DA - 51'!B41</f>
        <v>Frame: 51 ----- Stem: 70x60  ----- Carbon Aerobar + 40 + bridge + 10 + 5</v>
      </c>
      <c r="F577" s="11">
        <f t="shared" ref="F577:F640" si="65">IF(AND($F$5&gt;=B577,$F$5&lt;=C577),1,"")</f>
        <v>1</v>
      </c>
      <c r="G577" s="11" t="str">
        <f t="shared" si="61"/>
        <v/>
      </c>
      <c r="H577" s="11">
        <f t="shared" si="62"/>
        <v>1</v>
      </c>
      <c r="I577" s="11">
        <f t="shared" si="63"/>
        <v>45</v>
      </c>
      <c r="J577" s="11">
        <v>1</v>
      </c>
      <c r="K577" s="11">
        <f t="shared" si="64"/>
        <v>1</v>
      </c>
      <c r="L577" s="11" t="str">
        <f>'DA - 51'!H41</f>
        <v xml:space="preserve">Aerobar Bolts: Top 45mm; Bottom 30mm </v>
      </c>
    </row>
    <row r="578" spans="1:12" x14ac:dyDescent="0.25">
      <c r="A578" s="11">
        <f>'DA - 51'!C42</f>
        <v>465</v>
      </c>
      <c r="B578" s="11">
        <f>'DA - 51'!D42</f>
        <v>435</v>
      </c>
      <c r="C578" s="11">
        <f>'DA - 51'!E42</f>
        <v>515</v>
      </c>
      <c r="D578" s="11">
        <f>'DA - 51'!G42</f>
        <v>0</v>
      </c>
      <c r="E578" s="11" t="str">
        <f>'DA - 51'!B42</f>
        <v>Frame: 51 ----- Stem: 100x30  ----- Carbon Aerobar</v>
      </c>
      <c r="F578" s="11">
        <f t="shared" si="65"/>
        <v>1</v>
      </c>
      <c r="G578" s="11" t="str">
        <f t="shared" si="61"/>
        <v/>
      </c>
      <c r="H578" s="11" t="str">
        <f t="shared" si="62"/>
        <v/>
      </c>
      <c r="I578" s="11">
        <f t="shared" si="63"/>
        <v>5</v>
      </c>
      <c r="J578" s="11">
        <v>1</v>
      </c>
      <c r="K578" s="11">
        <f t="shared" si="64"/>
        <v>1</v>
      </c>
      <c r="L578" s="11" t="str">
        <f>'DA - 51'!H42</f>
        <v xml:space="preserve">Aerobar Bolts: Top N/A; Bottom N/A </v>
      </c>
    </row>
    <row r="579" spans="1:12" x14ac:dyDescent="0.25">
      <c r="A579" s="11">
        <f>'DA - 51'!C43</f>
        <v>465</v>
      </c>
      <c r="B579" s="11">
        <f>'DA - 51'!D43</f>
        <v>435</v>
      </c>
      <c r="C579" s="11">
        <f>'DA - 51'!E43</f>
        <v>515</v>
      </c>
      <c r="D579" s="11">
        <f>'DA - 51'!G43</f>
        <v>585</v>
      </c>
      <c r="E579" s="11" t="str">
        <f>'DA - 51'!B43</f>
        <v>Frame: 51 ----- Stem: 100x30  ----- Carbon Aerobar + 5</v>
      </c>
      <c r="F579" s="11">
        <f t="shared" si="65"/>
        <v>1</v>
      </c>
      <c r="G579" s="11" t="str">
        <f t="shared" si="61"/>
        <v/>
      </c>
      <c r="H579" s="11" t="str">
        <f t="shared" si="62"/>
        <v/>
      </c>
      <c r="I579" s="11">
        <f t="shared" si="63"/>
        <v>5</v>
      </c>
      <c r="J579" s="11">
        <v>1</v>
      </c>
      <c r="K579" s="11">
        <f t="shared" si="64"/>
        <v>1</v>
      </c>
      <c r="L579" s="11" t="str">
        <f>'DA - 51'!H43</f>
        <v xml:space="preserve">Aerobar Bolts: Top 45mm; Bottom N/A </v>
      </c>
    </row>
    <row r="580" spans="1:12" x14ac:dyDescent="0.25">
      <c r="A580" s="11">
        <f>'DA - 51'!C44</f>
        <v>465</v>
      </c>
      <c r="B580" s="11">
        <f>'DA - 51'!D44</f>
        <v>435</v>
      </c>
      <c r="C580" s="11">
        <f>'DA - 51'!E44</f>
        <v>515</v>
      </c>
      <c r="D580" s="11">
        <f>'DA - 51'!G44</f>
        <v>590</v>
      </c>
      <c r="E580" s="11" t="str">
        <f>'DA - 51'!B44</f>
        <v>Frame: 51 ----- Stem: 100x30  ----- Carbon Aerobar + 10</v>
      </c>
      <c r="F580" s="11">
        <f t="shared" si="65"/>
        <v>1</v>
      </c>
      <c r="G580" s="11" t="str">
        <f t="shared" si="61"/>
        <v/>
      </c>
      <c r="H580" s="11" t="str">
        <f t="shared" si="62"/>
        <v/>
      </c>
      <c r="I580" s="11">
        <f t="shared" si="63"/>
        <v>5</v>
      </c>
      <c r="J580" s="11">
        <v>1</v>
      </c>
      <c r="K580" s="11">
        <f t="shared" si="64"/>
        <v>1</v>
      </c>
      <c r="L580" s="11" t="str">
        <f>'DA - 51'!H44</f>
        <v xml:space="preserve">Aerobar Bolts: Top 50mm; Bottom N/A </v>
      </c>
    </row>
    <row r="581" spans="1:12" x14ac:dyDescent="0.25">
      <c r="A581" s="11">
        <f>'DA - 51'!C45</f>
        <v>465</v>
      </c>
      <c r="B581" s="11">
        <f>'DA - 51'!D45</f>
        <v>435</v>
      </c>
      <c r="C581" s="11">
        <f>'DA - 51'!E45</f>
        <v>515</v>
      </c>
      <c r="D581" s="11">
        <f>'DA - 51'!G45</f>
        <v>595</v>
      </c>
      <c r="E581" s="11" t="str">
        <f>'DA - 51'!B45</f>
        <v>Frame: 51 ----- Stem: 100x30  ----- Carbon Aerobar + 5 + 10</v>
      </c>
      <c r="F581" s="11">
        <f t="shared" si="65"/>
        <v>1</v>
      </c>
      <c r="G581" s="11" t="str">
        <f t="shared" si="61"/>
        <v/>
      </c>
      <c r="H581" s="11" t="str">
        <f t="shared" si="62"/>
        <v/>
      </c>
      <c r="I581" s="11">
        <f t="shared" si="63"/>
        <v>5</v>
      </c>
      <c r="J581" s="11">
        <v>1</v>
      </c>
      <c r="K581" s="11">
        <f t="shared" si="64"/>
        <v>1</v>
      </c>
      <c r="L581" s="11" t="str">
        <f>'DA - 51'!H45</f>
        <v xml:space="preserve">Aerobar Bolts: Top 55mm; Bottom N/A </v>
      </c>
    </row>
    <row r="582" spans="1:12" x14ac:dyDescent="0.25">
      <c r="A582" s="11">
        <f>'DA - 51'!C46</f>
        <v>465</v>
      </c>
      <c r="B582" s="11">
        <f>'DA - 51'!D46</f>
        <v>435</v>
      </c>
      <c r="C582" s="11">
        <f>'DA - 51'!E46</f>
        <v>515</v>
      </c>
      <c r="D582" s="11">
        <f>'DA - 51'!G46</f>
        <v>600</v>
      </c>
      <c r="E582" s="11" t="str">
        <f>'DA - 51'!B46</f>
        <v>Frame: 51 ----- Stem: 100x30  ----- Carbon Aerobar + 20</v>
      </c>
      <c r="F582" s="11">
        <f t="shared" si="65"/>
        <v>1</v>
      </c>
      <c r="G582" s="11" t="str">
        <f t="shared" si="61"/>
        <v/>
      </c>
      <c r="H582" s="11" t="str">
        <f t="shared" si="62"/>
        <v/>
      </c>
      <c r="I582" s="11">
        <f t="shared" si="63"/>
        <v>5</v>
      </c>
      <c r="J582" s="11">
        <v>1</v>
      </c>
      <c r="K582" s="11">
        <f t="shared" si="64"/>
        <v>1</v>
      </c>
      <c r="L582" s="11" t="str">
        <f>'DA - 51'!H46</f>
        <v xml:space="preserve">Aerobar Bolts: Top 20mm; Bottom 30mm </v>
      </c>
    </row>
    <row r="583" spans="1:12" x14ac:dyDescent="0.25">
      <c r="A583" s="11">
        <f>'DA - 51'!C47</f>
        <v>465</v>
      </c>
      <c r="B583" s="11">
        <f>'DA - 51'!D47</f>
        <v>435</v>
      </c>
      <c r="C583" s="11">
        <f>'DA - 51'!E47</f>
        <v>515</v>
      </c>
      <c r="D583" s="11">
        <f>'DA - 51'!G47</f>
        <v>605</v>
      </c>
      <c r="E583" s="11" t="str">
        <f>'DA - 51'!B47</f>
        <v>Frame: 51 ----- Stem: 100x30  ----- Carbon Aerobar + 20 + 5</v>
      </c>
      <c r="F583" s="11">
        <f t="shared" si="65"/>
        <v>1</v>
      </c>
      <c r="G583" s="11" t="str">
        <f t="shared" si="61"/>
        <v/>
      </c>
      <c r="H583" s="11" t="str">
        <f t="shared" si="62"/>
        <v/>
      </c>
      <c r="I583" s="11">
        <f t="shared" si="63"/>
        <v>5</v>
      </c>
      <c r="J583" s="11">
        <v>1</v>
      </c>
      <c r="K583" s="11">
        <f t="shared" si="64"/>
        <v>1</v>
      </c>
      <c r="L583" s="11" t="str">
        <f>'DA - 51'!H47</f>
        <v xml:space="preserve">Aerobar Bolts: Top 25mm; Bottom 30mm </v>
      </c>
    </row>
    <row r="584" spans="1:12" x14ac:dyDescent="0.25">
      <c r="A584" s="11">
        <f>'DA - 51'!C48</f>
        <v>465</v>
      </c>
      <c r="B584" s="11">
        <f>'DA - 51'!D48</f>
        <v>435</v>
      </c>
      <c r="C584" s="11">
        <f>'DA - 51'!E48</f>
        <v>515</v>
      </c>
      <c r="D584" s="11">
        <f>'DA - 51'!G48</f>
        <v>605</v>
      </c>
      <c r="E584" s="11" t="str">
        <f>'DA - 51'!B48</f>
        <v>Frame: 51 ----- Stem: 100x30  ----- Carbon Aerobar + 20 + bridge</v>
      </c>
      <c r="F584" s="11">
        <f t="shared" si="65"/>
        <v>1</v>
      </c>
      <c r="G584" s="11" t="str">
        <f t="shared" si="61"/>
        <v/>
      </c>
      <c r="H584" s="11" t="str">
        <f t="shared" si="62"/>
        <v/>
      </c>
      <c r="I584" s="11">
        <f t="shared" si="63"/>
        <v>5</v>
      </c>
      <c r="J584" s="11">
        <v>1</v>
      </c>
      <c r="K584" s="11">
        <f t="shared" si="64"/>
        <v>1</v>
      </c>
      <c r="L584" s="11" t="str">
        <f>'DA - 51'!H48</f>
        <v xml:space="preserve">Aerobar Bolts: Top 25mm; Bottom 30mm </v>
      </c>
    </row>
    <row r="585" spans="1:12" x14ac:dyDescent="0.25">
      <c r="A585" s="11">
        <f>'DA - 51'!C49</f>
        <v>465</v>
      </c>
      <c r="B585" s="11">
        <f>'DA - 51'!D49</f>
        <v>435</v>
      </c>
      <c r="C585" s="11">
        <f>'DA - 51'!E49</f>
        <v>515</v>
      </c>
      <c r="D585" s="11">
        <f>'DA - 51'!G49</f>
        <v>610</v>
      </c>
      <c r="E585" s="11" t="str">
        <f>'DA - 51'!B49</f>
        <v>Frame: 51 ----- Stem: 100x30  ----- Carbon Aerobar + 30</v>
      </c>
      <c r="F585" s="11">
        <f t="shared" si="65"/>
        <v>1</v>
      </c>
      <c r="G585" s="11">
        <f t="shared" ref="G585:G648" si="66">IF(ISNUMBER(FIND(" 30",E585)),1,"")</f>
        <v>1</v>
      </c>
      <c r="H585" s="11" t="str">
        <f t="shared" ref="H585:H648" si="67">IF(ISNUMBER(FIND(" 40",E585)),1,"")</f>
        <v/>
      </c>
      <c r="I585" s="11">
        <f t="shared" ref="I585:I648" si="68">$F$5-A585</f>
        <v>5</v>
      </c>
      <c r="J585" s="11">
        <v>1</v>
      </c>
      <c r="K585" s="11">
        <f t="shared" ref="K585:K648" si="69">IF(ISNUMBER(FIND(" 58",E585)),$AD$9,IF(ISNUMBER(FIND(" 56",E585)),$AD$8,IF(ISNUMBER(FIND(" 54",E585)),$AD$7,IF(ISNUMBER(FIND(" 51",E585)),$AD$6,IF(ISNUMBER(FIND(" 47",E585)),$AD$5,"")))))</f>
        <v>1</v>
      </c>
      <c r="L585" s="11" t="str">
        <f>'DA - 51'!H49</f>
        <v xml:space="preserve">Aerobar Bolts: Top 25mm; Bottom 30mm </v>
      </c>
    </row>
    <row r="586" spans="1:12" x14ac:dyDescent="0.25">
      <c r="A586" s="11">
        <f>'DA - 51'!C50</f>
        <v>465</v>
      </c>
      <c r="B586" s="11">
        <f>'DA - 51'!D50</f>
        <v>435</v>
      </c>
      <c r="C586" s="11">
        <f>'DA - 51'!E50</f>
        <v>515</v>
      </c>
      <c r="D586" s="11">
        <f>'DA - 51'!G50</f>
        <v>610</v>
      </c>
      <c r="E586" s="11" t="str">
        <f>'DA - 51'!B50</f>
        <v>Frame: 51 ----- Stem: 100x30  ----- Carbon Aerobar + 20 + bridge + 5</v>
      </c>
      <c r="F586" s="11">
        <f t="shared" si="65"/>
        <v>1</v>
      </c>
      <c r="G586" s="11" t="str">
        <f t="shared" si="66"/>
        <v/>
      </c>
      <c r="H586" s="11" t="str">
        <f t="shared" si="67"/>
        <v/>
      </c>
      <c r="I586" s="11">
        <f t="shared" si="68"/>
        <v>5</v>
      </c>
      <c r="J586" s="11">
        <v>1</v>
      </c>
      <c r="K586" s="11">
        <f t="shared" si="69"/>
        <v>1</v>
      </c>
      <c r="L586" s="11" t="str">
        <f>'DA - 51'!H50</f>
        <v xml:space="preserve">Aerobar Bolts: Top 30mm; Bottom 30mm </v>
      </c>
    </row>
    <row r="587" spans="1:12" x14ac:dyDescent="0.25">
      <c r="A587" s="11">
        <f>'DA - 51'!C51</f>
        <v>465</v>
      </c>
      <c r="B587" s="11">
        <f>'DA - 51'!D51</f>
        <v>435</v>
      </c>
      <c r="C587" s="11">
        <f>'DA - 51'!E51</f>
        <v>515</v>
      </c>
      <c r="D587" s="11">
        <f>'DA - 51'!G51</f>
        <v>615</v>
      </c>
      <c r="E587" s="11" t="str">
        <f>'DA - 51'!B51</f>
        <v>Frame: 51 ----- Stem: 100x30  ----- Carbon Aerobar + 30 + bridge</v>
      </c>
      <c r="F587" s="11">
        <f t="shared" si="65"/>
        <v>1</v>
      </c>
      <c r="G587" s="11">
        <f t="shared" si="66"/>
        <v>1</v>
      </c>
      <c r="H587" s="11" t="str">
        <f t="shared" si="67"/>
        <v/>
      </c>
      <c r="I587" s="11">
        <f t="shared" si="68"/>
        <v>5</v>
      </c>
      <c r="J587" s="11">
        <v>1</v>
      </c>
      <c r="K587" s="11">
        <f t="shared" si="69"/>
        <v>1</v>
      </c>
      <c r="L587" s="11" t="str">
        <f>'DA - 51'!H51</f>
        <v xml:space="preserve">Aerobar Bolts: Top 30mm; Bottom 30mm </v>
      </c>
    </row>
    <row r="588" spans="1:12" x14ac:dyDescent="0.25">
      <c r="A588" s="11">
        <f>'DA - 51'!C52</f>
        <v>465</v>
      </c>
      <c r="B588" s="11">
        <f>'DA - 51'!D52</f>
        <v>435</v>
      </c>
      <c r="C588" s="11">
        <f>'DA - 51'!E52</f>
        <v>515</v>
      </c>
      <c r="D588" s="11">
        <f>'DA - 51'!G52</f>
        <v>620</v>
      </c>
      <c r="E588" s="11" t="str">
        <f>'DA - 51'!B52</f>
        <v>Frame: 51 ----- Stem: 100x30  ----- Carbon Aerobar + 30 + bridge + 5</v>
      </c>
      <c r="F588" s="11">
        <f t="shared" si="65"/>
        <v>1</v>
      </c>
      <c r="G588" s="11">
        <f t="shared" si="66"/>
        <v>1</v>
      </c>
      <c r="H588" s="11" t="str">
        <f t="shared" si="67"/>
        <v/>
      </c>
      <c r="I588" s="11">
        <f t="shared" si="68"/>
        <v>5</v>
      </c>
      <c r="J588" s="11">
        <v>1</v>
      </c>
      <c r="K588" s="11">
        <f t="shared" si="69"/>
        <v>1</v>
      </c>
      <c r="L588" s="11" t="str">
        <f>'DA - 51'!H52</f>
        <v xml:space="preserve">Aerobar Bolts: Top 35mm; Bottom 30mm </v>
      </c>
    </row>
    <row r="589" spans="1:12" x14ac:dyDescent="0.25">
      <c r="A589" s="11">
        <f>'DA - 51'!C53</f>
        <v>465</v>
      </c>
      <c r="B589" s="11">
        <f>'DA - 51'!D53</f>
        <v>435</v>
      </c>
      <c r="C589" s="11">
        <f>'DA - 51'!E53</f>
        <v>515</v>
      </c>
      <c r="D589" s="11">
        <f>'DA - 51'!G53</f>
        <v>625</v>
      </c>
      <c r="E589" s="11" t="str">
        <f>'DA - 51'!B53</f>
        <v>Frame: 51 ----- Stem: 100x30  ----- Carbon Aerobar + 40 + bridge</v>
      </c>
      <c r="F589" s="11">
        <f t="shared" si="65"/>
        <v>1</v>
      </c>
      <c r="G589" s="11" t="str">
        <f t="shared" si="66"/>
        <v/>
      </c>
      <c r="H589" s="11">
        <f t="shared" si="67"/>
        <v>1</v>
      </c>
      <c r="I589" s="11">
        <f t="shared" si="68"/>
        <v>5</v>
      </c>
      <c r="J589" s="11">
        <v>1</v>
      </c>
      <c r="K589" s="11">
        <f t="shared" si="69"/>
        <v>1</v>
      </c>
      <c r="L589" s="11" t="str">
        <f>'DA - 51'!H53</f>
        <v xml:space="preserve">Aerobar Bolts: Top 35mm; Bottom 30mm </v>
      </c>
    </row>
    <row r="590" spans="1:12" x14ac:dyDescent="0.25">
      <c r="A590" s="11">
        <f>'DA - 51'!C54</f>
        <v>465</v>
      </c>
      <c r="B590" s="11">
        <f>'DA - 51'!D54</f>
        <v>435</v>
      </c>
      <c r="C590" s="11">
        <f>'DA - 51'!E54</f>
        <v>515</v>
      </c>
      <c r="D590" s="11">
        <f>'DA - 51'!G54</f>
        <v>630</v>
      </c>
      <c r="E590" s="11" t="str">
        <f>'DA - 51'!B54</f>
        <v>Frame: 51 ----- Stem: 100x30  ----- Carbon Aerobar + 40 + bridge + 5</v>
      </c>
      <c r="F590" s="11">
        <f t="shared" si="65"/>
        <v>1</v>
      </c>
      <c r="G590" s="11" t="str">
        <f t="shared" si="66"/>
        <v/>
      </c>
      <c r="H590" s="11">
        <f t="shared" si="67"/>
        <v>1</v>
      </c>
      <c r="I590" s="11">
        <f t="shared" si="68"/>
        <v>5</v>
      </c>
      <c r="J590" s="11">
        <v>1</v>
      </c>
      <c r="K590" s="11">
        <f t="shared" si="69"/>
        <v>1</v>
      </c>
      <c r="L590" s="11" t="str">
        <f>'DA - 51'!H54</f>
        <v xml:space="preserve">Aerobar Bolts: Top 35mm; Bottom 30mm </v>
      </c>
    </row>
    <row r="591" spans="1:12" x14ac:dyDescent="0.25">
      <c r="A591" s="11">
        <f>'DA - 51'!C55</f>
        <v>465</v>
      </c>
      <c r="B591" s="11">
        <f>'DA - 51'!D55</f>
        <v>435</v>
      </c>
      <c r="C591" s="11">
        <f>'DA - 51'!E55</f>
        <v>515</v>
      </c>
      <c r="D591" s="11">
        <f>'DA - 51'!G55</f>
        <v>635</v>
      </c>
      <c r="E591" s="11" t="str">
        <f>'DA - 51'!B55</f>
        <v>Frame: 51 ----- Stem: 100x30  ----- Carbon Aerobar + 40 + bridge + 10</v>
      </c>
      <c r="F591" s="11">
        <f t="shared" si="65"/>
        <v>1</v>
      </c>
      <c r="G591" s="11" t="str">
        <f t="shared" si="66"/>
        <v/>
      </c>
      <c r="H591" s="11">
        <f t="shared" si="67"/>
        <v>1</v>
      </c>
      <c r="I591" s="11">
        <f t="shared" si="68"/>
        <v>5</v>
      </c>
      <c r="J591" s="11">
        <v>1</v>
      </c>
      <c r="K591" s="11">
        <f t="shared" si="69"/>
        <v>1</v>
      </c>
      <c r="L591" s="11" t="str">
        <f>'DA - 51'!H55</f>
        <v xml:space="preserve">Aerobar Bolts: Top 40mm; Bottom 30mm </v>
      </c>
    </row>
    <row r="592" spans="1:12" x14ac:dyDescent="0.25">
      <c r="A592" s="11">
        <f>'DA - 51'!C56</f>
        <v>465</v>
      </c>
      <c r="B592" s="11">
        <f>'DA - 51'!D56</f>
        <v>435</v>
      </c>
      <c r="C592" s="11">
        <f>'DA - 51'!E56</f>
        <v>515</v>
      </c>
      <c r="D592" s="11">
        <f>'DA - 51'!G56</f>
        <v>640</v>
      </c>
      <c r="E592" s="11" t="str">
        <f>'DA - 51'!B56</f>
        <v>Frame: 51 ----- Stem: 100x30  ----- Carbon Aerobar + 40 + bridge + 10 + 5</v>
      </c>
      <c r="F592" s="11">
        <f t="shared" si="65"/>
        <v>1</v>
      </c>
      <c r="G592" s="11" t="str">
        <f t="shared" si="66"/>
        <v/>
      </c>
      <c r="H592" s="11">
        <f t="shared" si="67"/>
        <v>1</v>
      </c>
      <c r="I592" s="11">
        <f t="shared" si="68"/>
        <v>5</v>
      </c>
      <c r="J592" s="11">
        <v>1</v>
      </c>
      <c r="K592" s="11">
        <f t="shared" si="69"/>
        <v>1</v>
      </c>
      <c r="L592" s="11" t="str">
        <f>'DA - 51'!H56</f>
        <v xml:space="preserve">Aerobar Bolts: Top 45mm; Bottom 30mm </v>
      </c>
    </row>
    <row r="593" spans="1:12" x14ac:dyDescent="0.25">
      <c r="A593" s="11">
        <f>'DA - 51'!C57</f>
        <v>455</v>
      </c>
      <c r="B593" s="11">
        <f>'DA - 51'!D57</f>
        <v>425</v>
      </c>
      <c r="C593" s="11">
        <f>'DA - 51'!E57</f>
        <v>505</v>
      </c>
      <c r="D593" s="11">
        <f>'DA - 51'!G57</f>
        <v>0</v>
      </c>
      <c r="E593" s="11" t="str">
        <f>'DA - 51'!B57</f>
        <v>Frame: 51 ----- Stem: 100x60  ----- Carbon Aerobar</v>
      </c>
      <c r="F593" s="11">
        <f t="shared" si="65"/>
        <v>1</v>
      </c>
      <c r="G593" s="11" t="str">
        <f t="shared" si="66"/>
        <v/>
      </c>
      <c r="H593" s="11" t="str">
        <f t="shared" si="67"/>
        <v/>
      </c>
      <c r="I593" s="11">
        <f t="shared" si="68"/>
        <v>15</v>
      </c>
      <c r="J593" s="11">
        <v>1</v>
      </c>
      <c r="K593" s="11">
        <f t="shared" si="69"/>
        <v>1</v>
      </c>
      <c r="L593" s="11" t="str">
        <f>'DA - 51'!H57</f>
        <v xml:space="preserve">Aerobar Bolts: Top N/A; Bottom N/A </v>
      </c>
    </row>
    <row r="594" spans="1:12" x14ac:dyDescent="0.25">
      <c r="A594" s="11">
        <f>'DA - 51'!C58</f>
        <v>455</v>
      </c>
      <c r="B594" s="11">
        <f>'DA - 51'!D58</f>
        <v>425</v>
      </c>
      <c r="C594" s="11">
        <f>'DA - 51'!E58</f>
        <v>505</v>
      </c>
      <c r="D594" s="11">
        <f>'DA - 51'!G58</f>
        <v>615</v>
      </c>
      <c r="E594" s="11" t="str">
        <f>'DA - 51'!B58</f>
        <v>Frame: 51 ----- Stem: 100x60  ----- Carbon Aerobar + 5</v>
      </c>
      <c r="F594" s="11">
        <f t="shared" si="65"/>
        <v>1</v>
      </c>
      <c r="G594" s="11" t="str">
        <f t="shared" si="66"/>
        <v/>
      </c>
      <c r="H594" s="11" t="str">
        <f t="shared" si="67"/>
        <v/>
      </c>
      <c r="I594" s="11">
        <f t="shared" si="68"/>
        <v>15</v>
      </c>
      <c r="J594" s="11">
        <v>1</v>
      </c>
      <c r="K594" s="11">
        <f t="shared" si="69"/>
        <v>1</v>
      </c>
      <c r="L594" s="11" t="str">
        <f>'DA - 51'!H58</f>
        <v xml:space="preserve">Aerobar Bolts: Top 45mm; Bottom N/A </v>
      </c>
    </row>
    <row r="595" spans="1:12" x14ac:dyDescent="0.25">
      <c r="A595" s="11">
        <f>'DA - 51'!C59</f>
        <v>455</v>
      </c>
      <c r="B595" s="11">
        <f>'DA - 51'!D59</f>
        <v>425</v>
      </c>
      <c r="C595" s="11">
        <f>'DA - 51'!E59</f>
        <v>505</v>
      </c>
      <c r="D595" s="11">
        <f>'DA - 51'!G59</f>
        <v>620</v>
      </c>
      <c r="E595" s="11" t="str">
        <f>'DA - 51'!B59</f>
        <v>Frame: 51 ----- Stem: 100x60  ----- Carbon Aerobar + 10</v>
      </c>
      <c r="F595" s="11">
        <f t="shared" si="65"/>
        <v>1</v>
      </c>
      <c r="G595" s="11" t="str">
        <f t="shared" si="66"/>
        <v/>
      </c>
      <c r="H595" s="11" t="str">
        <f t="shared" si="67"/>
        <v/>
      </c>
      <c r="I595" s="11">
        <f t="shared" si="68"/>
        <v>15</v>
      </c>
      <c r="J595" s="11">
        <v>1</v>
      </c>
      <c r="K595" s="11">
        <f t="shared" si="69"/>
        <v>1</v>
      </c>
      <c r="L595" s="11" t="str">
        <f>'DA - 51'!H59</f>
        <v xml:space="preserve">Aerobar Bolts: Top 50mm; Bottom N/A </v>
      </c>
    </row>
    <row r="596" spans="1:12" x14ac:dyDescent="0.25">
      <c r="A596" s="11">
        <f>'DA - 51'!C60</f>
        <v>455</v>
      </c>
      <c r="B596" s="11">
        <f>'DA - 51'!D60</f>
        <v>425</v>
      </c>
      <c r="C596" s="11">
        <f>'DA - 51'!E60</f>
        <v>505</v>
      </c>
      <c r="D596" s="11">
        <f>'DA - 51'!G60</f>
        <v>625</v>
      </c>
      <c r="E596" s="11" t="str">
        <f>'DA - 51'!B60</f>
        <v>Frame: 51 ----- Stem: 100x60  ----- Carbon Aerobar + 5 + 10</v>
      </c>
      <c r="F596" s="11">
        <f t="shared" si="65"/>
        <v>1</v>
      </c>
      <c r="G596" s="11" t="str">
        <f t="shared" si="66"/>
        <v/>
      </c>
      <c r="H596" s="11" t="str">
        <f t="shared" si="67"/>
        <v/>
      </c>
      <c r="I596" s="11">
        <f t="shared" si="68"/>
        <v>15</v>
      </c>
      <c r="J596" s="11">
        <v>1</v>
      </c>
      <c r="K596" s="11">
        <f t="shared" si="69"/>
        <v>1</v>
      </c>
      <c r="L596" s="11" t="str">
        <f>'DA - 51'!H60</f>
        <v xml:space="preserve">Aerobar Bolts: Top 55mm; Bottom N/A </v>
      </c>
    </row>
    <row r="597" spans="1:12" x14ac:dyDescent="0.25">
      <c r="A597" s="11">
        <f>'DA - 51'!C61</f>
        <v>455</v>
      </c>
      <c r="B597" s="11">
        <f>'DA - 51'!D61</f>
        <v>425</v>
      </c>
      <c r="C597" s="11">
        <f>'DA - 51'!E61</f>
        <v>505</v>
      </c>
      <c r="D597" s="11">
        <f>'DA - 51'!G61</f>
        <v>630</v>
      </c>
      <c r="E597" s="11" t="str">
        <f>'DA - 51'!B61</f>
        <v>Frame: 51 ----- Stem: 100x60  ----- Carbon Aerobar + 20</v>
      </c>
      <c r="F597" s="11">
        <f t="shared" si="65"/>
        <v>1</v>
      </c>
      <c r="G597" s="11" t="str">
        <f t="shared" si="66"/>
        <v/>
      </c>
      <c r="H597" s="11" t="str">
        <f t="shared" si="67"/>
        <v/>
      </c>
      <c r="I597" s="11">
        <f t="shared" si="68"/>
        <v>15</v>
      </c>
      <c r="J597" s="11">
        <v>1</v>
      </c>
      <c r="K597" s="11">
        <f t="shared" si="69"/>
        <v>1</v>
      </c>
      <c r="L597" s="11" t="str">
        <f>'DA - 51'!H61</f>
        <v xml:space="preserve">Aerobar Bolts: Top 20mm; Bottom 30mm </v>
      </c>
    </row>
    <row r="598" spans="1:12" x14ac:dyDescent="0.25">
      <c r="A598" s="11">
        <f>'DA - 51'!C62</f>
        <v>455</v>
      </c>
      <c r="B598" s="11">
        <f>'DA - 51'!D62</f>
        <v>425</v>
      </c>
      <c r="C598" s="11">
        <f>'DA - 51'!E62</f>
        <v>505</v>
      </c>
      <c r="D598" s="11">
        <f>'DA - 51'!G62</f>
        <v>635</v>
      </c>
      <c r="E598" s="11" t="str">
        <f>'DA - 51'!B62</f>
        <v>Frame: 51 ----- Stem: 100x60  ----- Carbon Aerobar + 20 + 5</v>
      </c>
      <c r="F598" s="11">
        <f t="shared" si="65"/>
        <v>1</v>
      </c>
      <c r="G598" s="11" t="str">
        <f t="shared" si="66"/>
        <v/>
      </c>
      <c r="H598" s="11" t="str">
        <f t="shared" si="67"/>
        <v/>
      </c>
      <c r="I598" s="11">
        <f t="shared" si="68"/>
        <v>15</v>
      </c>
      <c r="J598" s="11">
        <v>1</v>
      </c>
      <c r="K598" s="11">
        <f t="shared" si="69"/>
        <v>1</v>
      </c>
      <c r="L598" s="11" t="str">
        <f>'DA - 51'!H62</f>
        <v xml:space="preserve">Aerobar Bolts: Top 25mm; Bottom 30mm </v>
      </c>
    </row>
    <row r="599" spans="1:12" x14ac:dyDescent="0.25">
      <c r="A599" s="11">
        <f>'DA - 51'!C63</f>
        <v>455</v>
      </c>
      <c r="B599" s="11">
        <f>'DA - 51'!D63</f>
        <v>425</v>
      </c>
      <c r="C599" s="11">
        <f>'DA - 51'!E63</f>
        <v>505</v>
      </c>
      <c r="D599" s="11">
        <f>'DA - 51'!G63</f>
        <v>635</v>
      </c>
      <c r="E599" s="11" t="str">
        <f>'DA - 51'!B63</f>
        <v>Frame: 51 ----- Stem: 100x60  ----- Carbon Aerobar + 20 + bridge</v>
      </c>
      <c r="F599" s="11">
        <f t="shared" si="65"/>
        <v>1</v>
      </c>
      <c r="G599" s="11" t="str">
        <f t="shared" si="66"/>
        <v/>
      </c>
      <c r="H599" s="11" t="str">
        <f t="shared" si="67"/>
        <v/>
      </c>
      <c r="I599" s="11">
        <f t="shared" si="68"/>
        <v>15</v>
      </c>
      <c r="J599" s="11">
        <v>1</v>
      </c>
      <c r="K599" s="11">
        <f t="shared" si="69"/>
        <v>1</v>
      </c>
      <c r="L599" s="11" t="str">
        <f>'DA - 51'!H63</f>
        <v xml:space="preserve">Aerobar Bolts: Top 25mm; Bottom 30mm </v>
      </c>
    </row>
    <row r="600" spans="1:12" x14ac:dyDescent="0.25">
      <c r="A600" s="11">
        <f>'DA - 51'!C64</f>
        <v>455</v>
      </c>
      <c r="B600" s="11">
        <f>'DA - 51'!D64</f>
        <v>425</v>
      </c>
      <c r="C600" s="11">
        <f>'DA - 51'!E64</f>
        <v>505</v>
      </c>
      <c r="D600" s="11">
        <f>'DA - 51'!G64</f>
        <v>640</v>
      </c>
      <c r="E600" s="11" t="str">
        <f>'DA - 51'!B64</f>
        <v>Frame: 51 ----- Stem: 100x60  ----- Carbon Aerobar + 30</v>
      </c>
      <c r="F600" s="11">
        <f t="shared" si="65"/>
        <v>1</v>
      </c>
      <c r="G600" s="11">
        <f t="shared" si="66"/>
        <v>1</v>
      </c>
      <c r="H600" s="11" t="str">
        <f t="shared" si="67"/>
        <v/>
      </c>
      <c r="I600" s="11">
        <f t="shared" si="68"/>
        <v>15</v>
      </c>
      <c r="J600" s="11">
        <v>1</v>
      </c>
      <c r="K600" s="11">
        <f t="shared" si="69"/>
        <v>1</v>
      </c>
      <c r="L600" s="11" t="str">
        <f>'DA - 51'!H64</f>
        <v xml:space="preserve">Aerobar Bolts: Top 25mm; Bottom 30mm </v>
      </c>
    </row>
    <row r="601" spans="1:12" x14ac:dyDescent="0.25">
      <c r="A601" s="11">
        <f>'DA - 51'!C65</f>
        <v>455</v>
      </c>
      <c r="B601" s="11">
        <f>'DA - 51'!D65</f>
        <v>425</v>
      </c>
      <c r="C601" s="11">
        <f>'DA - 51'!E65</f>
        <v>505</v>
      </c>
      <c r="D601" s="11">
        <f>'DA - 51'!G65</f>
        <v>640</v>
      </c>
      <c r="E601" s="11" t="str">
        <f>'DA - 51'!B65</f>
        <v>Frame: 51 ----- Stem: 100x60  ----- Carbon Aerobar + 20 + bridge + 5</v>
      </c>
      <c r="F601" s="11">
        <f t="shared" si="65"/>
        <v>1</v>
      </c>
      <c r="G601" s="11" t="str">
        <f t="shared" si="66"/>
        <v/>
      </c>
      <c r="H601" s="11" t="str">
        <f t="shared" si="67"/>
        <v/>
      </c>
      <c r="I601" s="11">
        <f t="shared" si="68"/>
        <v>15</v>
      </c>
      <c r="J601" s="11">
        <v>1</v>
      </c>
      <c r="K601" s="11">
        <f t="shared" si="69"/>
        <v>1</v>
      </c>
      <c r="L601" s="11" t="str">
        <f>'DA - 51'!H65</f>
        <v xml:space="preserve">Aerobar Bolts: Top 30mm; Bottom 30mm </v>
      </c>
    </row>
    <row r="602" spans="1:12" x14ac:dyDescent="0.25">
      <c r="A602" s="11">
        <f>'DA - 51'!C66</f>
        <v>455</v>
      </c>
      <c r="B602" s="11">
        <f>'DA - 51'!D66</f>
        <v>425</v>
      </c>
      <c r="C602" s="11">
        <f>'DA - 51'!E66</f>
        <v>505</v>
      </c>
      <c r="D602" s="11">
        <f>'DA - 51'!G66</f>
        <v>645</v>
      </c>
      <c r="E602" s="11" t="str">
        <f>'DA - 51'!B66</f>
        <v>Frame: 51 ----- Stem: 100x60  ----- Carbon Aerobar + 30 + bridge</v>
      </c>
      <c r="F602" s="11">
        <f t="shared" si="65"/>
        <v>1</v>
      </c>
      <c r="G602" s="11">
        <f t="shared" si="66"/>
        <v>1</v>
      </c>
      <c r="H602" s="11" t="str">
        <f t="shared" si="67"/>
        <v/>
      </c>
      <c r="I602" s="11">
        <f t="shared" si="68"/>
        <v>15</v>
      </c>
      <c r="J602" s="11">
        <v>1</v>
      </c>
      <c r="K602" s="11">
        <f t="shared" si="69"/>
        <v>1</v>
      </c>
      <c r="L602" s="11" t="str">
        <f>'DA - 51'!H66</f>
        <v xml:space="preserve">Aerobar Bolts: Top 30mm; Bottom 30mm </v>
      </c>
    </row>
    <row r="603" spans="1:12" x14ac:dyDescent="0.25">
      <c r="A603" s="11">
        <f>'DA - 51'!C67</f>
        <v>455</v>
      </c>
      <c r="B603" s="11">
        <f>'DA - 51'!D67</f>
        <v>425</v>
      </c>
      <c r="C603" s="11">
        <f>'DA - 51'!E67</f>
        <v>505</v>
      </c>
      <c r="D603" s="11">
        <f>'DA - 51'!G67</f>
        <v>650</v>
      </c>
      <c r="E603" s="11" t="str">
        <f>'DA - 51'!B67</f>
        <v>Frame: 51 ----- Stem: 100x60  ----- Carbon Aerobar + 30 + bridge + 5</v>
      </c>
      <c r="F603" s="11">
        <f t="shared" si="65"/>
        <v>1</v>
      </c>
      <c r="G603" s="11">
        <f t="shared" si="66"/>
        <v>1</v>
      </c>
      <c r="H603" s="11" t="str">
        <f t="shared" si="67"/>
        <v/>
      </c>
      <c r="I603" s="11">
        <f t="shared" si="68"/>
        <v>15</v>
      </c>
      <c r="J603" s="11">
        <v>1</v>
      </c>
      <c r="K603" s="11">
        <f t="shared" si="69"/>
        <v>1</v>
      </c>
      <c r="L603" s="11" t="str">
        <f>'DA - 51'!H67</f>
        <v xml:space="preserve">Aerobar Bolts: Top 35mm; Bottom 30mm </v>
      </c>
    </row>
    <row r="604" spans="1:12" x14ac:dyDescent="0.25">
      <c r="A604" s="11">
        <f>'DA - 51'!C68</f>
        <v>455</v>
      </c>
      <c r="B604" s="11">
        <f>'DA - 51'!D68</f>
        <v>425</v>
      </c>
      <c r="C604" s="11">
        <f>'DA - 51'!E68</f>
        <v>505</v>
      </c>
      <c r="D604" s="11">
        <f>'DA - 51'!G68</f>
        <v>655</v>
      </c>
      <c r="E604" s="11" t="str">
        <f>'DA - 51'!B68</f>
        <v>Frame: 51 ----- Stem: 100x60  ----- Carbon Aerobar + 40 + bridge</v>
      </c>
      <c r="F604" s="11">
        <f t="shared" si="65"/>
        <v>1</v>
      </c>
      <c r="G604" s="11" t="str">
        <f t="shared" si="66"/>
        <v/>
      </c>
      <c r="H604" s="11">
        <f t="shared" si="67"/>
        <v>1</v>
      </c>
      <c r="I604" s="11">
        <f t="shared" si="68"/>
        <v>15</v>
      </c>
      <c r="J604" s="11">
        <v>1</v>
      </c>
      <c r="K604" s="11">
        <f t="shared" si="69"/>
        <v>1</v>
      </c>
      <c r="L604" s="11" t="str">
        <f>'DA - 51'!H68</f>
        <v xml:space="preserve">Aerobar Bolts: Top 35mm; Bottom 30mm </v>
      </c>
    </row>
    <row r="605" spans="1:12" x14ac:dyDescent="0.25">
      <c r="A605" s="11">
        <f>'DA - 51'!C69</f>
        <v>455</v>
      </c>
      <c r="B605" s="11">
        <f>'DA - 51'!D69</f>
        <v>425</v>
      </c>
      <c r="C605" s="11">
        <f>'DA - 51'!E69</f>
        <v>505</v>
      </c>
      <c r="D605" s="11">
        <f>'DA - 51'!G69</f>
        <v>660</v>
      </c>
      <c r="E605" s="11" t="str">
        <f>'DA - 51'!B69</f>
        <v>Frame: 51 ----- Stem: 100x60  ----- Carbon Aerobar + 40 + bridge + 5</v>
      </c>
      <c r="F605" s="11">
        <f t="shared" si="65"/>
        <v>1</v>
      </c>
      <c r="G605" s="11" t="str">
        <f t="shared" si="66"/>
        <v/>
      </c>
      <c r="H605" s="11">
        <f t="shared" si="67"/>
        <v>1</v>
      </c>
      <c r="I605" s="11">
        <f t="shared" si="68"/>
        <v>15</v>
      </c>
      <c r="J605" s="11">
        <v>1</v>
      </c>
      <c r="K605" s="11">
        <f t="shared" si="69"/>
        <v>1</v>
      </c>
      <c r="L605" s="11" t="str">
        <f>'DA - 51'!H69</f>
        <v xml:space="preserve">Aerobar Bolts: Top 35mm; Bottom 30mm </v>
      </c>
    </row>
    <row r="606" spans="1:12" x14ac:dyDescent="0.25">
      <c r="A606" s="11">
        <f>'DA - 51'!C70</f>
        <v>455</v>
      </c>
      <c r="B606" s="11">
        <f>'DA - 51'!D70</f>
        <v>425</v>
      </c>
      <c r="C606" s="11">
        <f>'DA - 51'!E70</f>
        <v>505</v>
      </c>
      <c r="D606" s="11">
        <f>'DA - 51'!G70</f>
        <v>665</v>
      </c>
      <c r="E606" s="11" t="str">
        <f>'DA - 51'!B70</f>
        <v>Frame: 51 ----- Stem: 100x60  ----- Carbon Aerobar + 40 + bridge + 10</v>
      </c>
      <c r="F606" s="11">
        <f t="shared" si="65"/>
        <v>1</v>
      </c>
      <c r="G606" s="11" t="str">
        <f t="shared" si="66"/>
        <v/>
      </c>
      <c r="H606" s="11">
        <f t="shared" si="67"/>
        <v>1</v>
      </c>
      <c r="I606" s="11">
        <f t="shared" si="68"/>
        <v>15</v>
      </c>
      <c r="J606" s="11">
        <v>1</v>
      </c>
      <c r="K606" s="11">
        <f t="shared" si="69"/>
        <v>1</v>
      </c>
      <c r="L606" s="11" t="str">
        <f>'DA - 51'!H70</f>
        <v xml:space="preserve">Aerobar Bolts: Top 40mm; Bottom 30mm </v>
      </c>
    </row>
    <row r="607" spans="1:12" x14ac:dyDescent="0.25">
      <c r="A607" s="11">
        <f>'DA - 51'!C71</f>
        <v>455</v>
      </c>
      <c r="B607" s="11">
        <f>'DA - 51'!D71</f>
        <v>425</v>
      </c>
      <c r="C607" s="11">
        <f>'DA - 51'!E71</f>
        <v>505</v>
      </c>
      <c r="D607" s="11">
        <f>'DA - 51'!G71</f>
        <v>670</v>
      </c>
      <c r="E607" s="11" t="str">
        <f>'DA - 51'!B71</f>
        <v>Frame: 51 ----- Stem: 100x60  ----- Carbon Aerobar + 40 + bridge + 10 + 5</v>
      </c>
      <c r="F607" s="11">
        <f t="shared" si="65"/>
        <v>1</v>
      </c>
      <c r="G607" s="11" t="str">
        <f t="shared" si="66"/>
        <v/>
      </c>
      <c r="H607" s="11">
        <f t="shared" si="67"/>
        <v>1</v>
      </c>
      <c r="I607" s="11">
        <f t="shared" si="68"/>
        <v>15</v>
      </c>
      <c r="J607" s="11">
        <v>1</v>
      </c>
      <c r="K607" s="11">
        <f t="shared" si="69"/>
        <v>1</v>
      </c>
      <c r="L607" s="11" t="str">
        <f>'DA - 51'!H71</f>
        <v xml:space="preserve">Aerobar Bolts: Top 45mm; Bottom 30mm </v>
      </c>
    </row>
    <row r="608" spans="1:12" x14ac:dyDescent="0.25">
      <c r="A608" s="11">
        <f>'DA - 51'!C72</f>
        <v>460</v>
      </c>
      <c r="B608" s="11">
        <f>'DA - 51'!D72</f>
        <v>430</v>
      </c>
      <c r="C608" s="11">
        <f>'DA - 51'!E72</f>
        <v>510</v>
      </c>
      <c r="D608" s="11">
        <f>'DA - 51'!G72</f>
        <v>0</v>
      </c>
      <c r="E608" s="11" t="str">
        <f>'DA - 51'!B72</f>
        <v>Frame: 51 ----- Stem: 90x0  ----- Carbon Aerobar</v>
      </c>
      <c r="F608" s="11">
        <f t="shared" si="65"/>
        <v>1</v>
      </c>
      <c r="G608" s="11" t="str">
        <f t="shared" si="66"/>
        <v/>
      </c>
      <c r="H608" s="11" t="str">
        <f t="shared" si="67"/>
        <v/>
      </c>
      <c r="I608" s="11">
        <f t="shared" si="68"/>
        <v>10</v>
      </c>
      <c r="J608" s="11">
        <v>1</v>
      </c>
      <c r="K608" s="11">
        <f t="shared" si="69"/>
        <v>1</v>
      </c>
      <c r="L608" s="11" t="str">
        <f>'DA - 51'!H72</f>
        <v xml:space="preserve">Aerobar Bolts: Top N/A; Bottom N/A </v>
      </c>
    </row>
    <row r="609" spans="1:12" x14ac:dyDescent="0.25">
      <c r="A609" s="11">
        <f>'DA - 51'!C73</f>
        <v>460</v>
      </c>
      <c r="B609" s="11">
        <f>'DA - 51'!D73</f>
        <v>430</v>
      </c>
      <c r="C609" s="11">
        <f>'DA - 51'!E73</f>
        <v>510</v>
      </c>
      <c r="D609" s="11">
        <f>'DA - 51'!G73</f>
        <v>555</v>
      </c>
      <c r="E609" s="11" t="str">
        <f>'DA - 51'!B73</f>
        <v>Frame: 51 ----- Stem: 90x0  ----- Carbon Aerobar + 5</v>
      </c>
      <c r="F609" s="11">
        <f t="shared" si="65"/>
        <v>1</v>
      </c>
      <c r="G609" s="11" t="str">
        <f t="shared" si="66"/>
        <v/>
      </c>
      <c r="H609" s="11" t="str">
        <f t="shared" si="67"/>
        <v/>
      </c>
      <c r="I609" s="11">
        <f t="shared" si="68"/>
        <v>10</v>
      </c>
      <c r="J609" s="11">
        <v>1</v>
      </c>
      <c r="K609" s="11">
        <f t="shared" si="69"/>
        <v>1</v>
      </c>
      <c r="L609" s="11" t="str">
        <f>'DA - 51'!H73</f>
        <v xml:space="preserve">Aerobar Bolts: Top 45mm; Bottom N/A </v>
      </c>
    </row>
    <row r="610" spans="1:12" x14ac:dyDescent="0.25">
      <c r="A610" s="11">
        <f>'DA - 51'!C74</f>
        <v>460</v>
      </c>
      <c r="B610" s="11">
        <f>'DA - 51'!D74</f>
        <v>430</v>
      </c>
      <c r="C610" s="11">
        <f>'DA - 51'!E74</f>
        <v>510</v>
      </c>
      <c r="D610" s="11">
        <f>'DA - 51'!G74</f>
        <v>560</v>
      </c>
      <c r="E610" s="11" t="str">
        <f>'DA - 51'!B74</f>
        <v>Frame: 51 ----- Stem: 90x0  ----- Carbon Aerobar + 10</v>
      </c>
      <c r="F610" s="11">
        <f t="shared" si="65"/>
        <v>1</v>
      </c>
      <c r="G610" s="11" t="str">
        <f t="shared" si="66"/>
        <v/>
      </c>
      <c r="H610" s="11" t="str">
        <f t="shared" si="67"/>
        <v/>
      </c>
      <c r="I610" s="11">
        <f t="shared" si="68"/>
        <v>10</v>
      </c>
      <c r="J610" s="11">
        <v>1</v>
      </c>
      <c r="K610" s="11">
        <f t="shared" si="69"/>
        <v>1</v>
      </c>
      <c r="L610" s="11" t="str">
        <f>'DA - 51'!H74</f>
        <v xml:space="preserve">Aerobar Bolts: Top 50mm; Bottom N/A </v>
      </c>
    </row>
    <row r="611" spans="1:12" x14ac:dyDescent="0.25">
      <c r="A611" s="11">
        <f>'DA - 51'!C75</f>
        <v>460</v>
      </c>
      <c r="B611" s="11">
        <f>'DA - 51'!D75</f>
        <v>430</v>
      </c>
      <c r="C611" s="11">
        <f>'DA - 51'!E75</f>
        <v>510</v>
      </c>
      <c r="D611" s="11">
        <f>'DA - 51'!G75</f>
        <v>565</v>
      </c>
      <c r="E611" s="11" t="str">
        <f>'DA - 51'!B75</f>
        <v>Frame: 51 ----- Stem: 90x0  ----- Carbon Aerobar + 5 + 10</v>
      </c>
      <c r="F611" s="11">
        <f t="shared" si="65"/>
        <v>1</v>
      </c>
      <c r="G611" s="11" t="str">
        <f t="shared" si="66"/>
        <v/>
      </c>
      <c r="H611" s="11" t="str">
        <f t="shared" si="67"/>
        <v/>
      </c>
      <c r="I611" s="11">
        <f t="shared" si="68"/>
        <v>10</v>
      </c>
      <c r="J611" s="11">
        <v>1</v>
      </c>
      <c r="K611" s="11">
        <f t="shared" si="69"/>
        <v>1</v>
      </c>
      <c r="L611" s="11" t="str">
        <f>'DA - 51'!H75</f>
        <v xml:space="preserve">Aerobar Bolts: Top 55mm; Bottom N/A </v>
      </c>
    </row>
    <row r="612" spans="1:12" x14ac:dyDescent="0.25">
      <c r="A612" s="11">
        <f>'DA - 51'!C76</f>
        <v>460</v>
      </c>
      <c r="B612" s="11">
        <f>'DA - 51'!D76</f>
        <v>430</v>
      </c>
      <c r="C612" s="11">
        <f>'DA - 51'!E76</f>
        <v>510</v>
      </c>
      <c r="D612" s="11">
        <f>'DA - 51'!G76</f>
        <v>570</v>
      </c>
      <c r="E612" s="11" t="str">
        <f>'DA - 51'!B76</f>
        <v>Frame: 51 ----- Stem: 90x0  ----- Carbon Aerobar + 20</v>
      </c>
      <c r="F612" s="11">
        <f t="shared" si="65"/>
        <v>1</v>
      </c>
      <c r="G612" s="11" t="str">
        <f t="shared" si="66"/>
        <v/>
      </c>
      <c r="H612" s="11" t="str">
        <f t="shared" si="67"/>
        <v/>
      </c>
      <c r="I612" s="11">
        <f t="shared" si="68"/>
        <v>10</v>
      </c>
      <c r="J612" s="11">
        <v>1</v>
      </c>
      <c r="K612" s="11">
        <f t="shared" si="69"/>
        <v>1</v>
      </c>
      <c r="L612" s="11" t="str">
        <f>'DA - 51'!H76</f>
        <v xml:space="preserve">Aerobar Bolts: Top 20mm; Bottom 30mm </v>
      </c>
    </row>
    <row r="613" spans="1:12" x14ac:dyDescent="0.25">
      <c r="A613" s="11">
        <f>'DA - 51'!C77</f>
        <v>460</v>
      </c>
      <c r="B613" s="11">
        <f>'DA - 51'!D77</f>
        <v>430</v>
      </c>
      <c r="C613" s="11">
        <f>'DA - 51'!E77</f>
        <v>510</v>
      </c>
      <c r="D613" s="11">
        <f>'DA - 51'!G77</f>
        <v>575</v>
      </c>
      <c r="E613" s="11" t="str">
        <f>'DA - 51'!B77</f>
        <v>Frame: 51 ----- Stem: 90x0  ----- Carbon Aerobar + 20 + 5</v>
      </c>
      <c r="F613" s="11">
        <f t="shared" si="65"/>
        <v>1</v>
      </c>
      <c r="G613" s="11" t="str">
        <f t="shared" si="66"/>
        <v/>
      </c>
      <c r="H613" s="11" t="str">
        <f t="shared" si="67"/>
        <v/>
      </c>
      <c r="I613" s="11">
        <f t="shared" si="68"/>
        <v>10</v>
      </c>
      <c r="J613" s="11">
        <v>1</v>
      </c>
      <c r="K613" s="11">
        <f t="shared" si="69"/>
        <v>1</v>
      </c>
      <c r="L613" s="11" t="str">
        <f>'DA - 51'!H77</f>
        <v xml:space="preserve">Aerobar Bolts: Top 25mm; Bottom 30mm </v>
      </c>
    </row>
    <row r="614" spans="1:12" x14ac:dyDescent="0.25">
      <c r="A614" s="11">
        <f>'DA - 51'!C78</f>
        <v>460</v>
      </c>
      <c r="B614" s="11">
        <f>'DA - 51'!D78</f>
        <v>430</v>
      </c>
      <c r="C614" s="11">
        <f>'DA - 51'!E78</f>
        <v>510</v>
      </c>
      <c r="D614" s="11">
        <f>'DA - 51'!G78</f>
        <v>575</v>
      </c>
      <c r="E614" s="11" t="str">
        <f>'DA - 51'!B78</f>
        <v>Frame: 51 ----- Stem: 90x0  ----- Carbon Aerobar + 20 + bridge</v>
      </c>
      <c r="F614" s="11">
        <f t="shared" si="65"/>
        <v>1</v>
      </c>
      <c r="G614" s="11" t="str">
        <f t="shared" si="66"/>
        <v/>
      </c>
      <c r="H614" s="11" t="str">
        <f t="shared" si="67"/>
        <v/>
      </c>
      <c r="I614" s="11">
        <f t="shared" si="68"/>
        <v>10</v>
      </c>
      <c r="J614" s="11">
        <v>1</v>
      </c>
      <c r="K614" s="11">
        <f t="shared" si="69"/>
        <v>1</v>
      </c>
      <c r="L614" s="11" t="str">
        <f>'DA - 51'!H78</f>
        <v xml:space="preserve">Aerobar Bolts: Top 25mm; Bottom 30mm </v>
      </c>
    </row>
    <row r="615" spans="1:12" x14ac:dyDescent="0.25">
      <c r="A615" s="11">
        <f>'DA - 51'!C79</f>
        <v>460</v>
      </c>
      <c r="B615" s="11">
        <f>'DA - 51'!D79</f>
        <v>430</v>
      </c>
      <c r="C615" s="11">
        <f>'DA - 51'!E79</f>
        <v>510</v>
      </c>
      <c r="D615" s="11">
        <f>'DA - 51'!G79</f>
        <v>580</v>
      </c>
      <c r="E615" s="11" t="str">
        <f>'DA - 51'!B79</f>
        <v>Frame: 51 ----- Stem: 90x0  ----- Carbon Aerobar + 30</v>
      </c>
      <c r="F615" s="11">
        <f t="shared" si="65"/>
        <v>1</v>
      </c>
      <c r="G615" s="11">
        <f t="shared" si="66"/>
        <v>1</v>
      </c>
      <c r="H615" s="11" t="str">
        <f t="shared" si="67"/>
        <v/>
      </c>
      <c r="I615" s="11">
        <f t="shared" si="68"/>
        <v>10</v>
      </c>
      <c r="J615" s="11">
        <v>1</v>
      </c>
      <c r="K615" s="11">
        <f t="shared" si="69"/>
        <v>1</v>
      </c>
      <c r="L615" s="11" t="str">
        <f>'DA - 51'!H79</f>
        <v xml:space="preserve">Aerobar Bolts: Top 25mm; Bottom 30mm </v>
      </c>
    </row>
    <row r="616" spans="1:12" x14ac:dyDescent="0.25">
      <c r="A616" s="11">
        <f>'DA - 51'!C80</f>
        <v>460</v>
      </c>
      <c r="B616" s="11">
        <f>'DA - 51'!D80</f>
        <v>430</v>
      </c>
      <c r="C616" s="11">
        <f>'DA - 51'!E80</f>
        <v>510</v>
      </c>
      <c r="D616" s="11">
        <f>'DA - 51'!G80</f>
        <v>580</v>
      </c>
      <c r="E616" s="11" t="str">
        <f>'DA - 51'!B80</f>
        <v>Frame: 51 ----- Stem: 90x0  ----- Carbon Aerobar + 20 + bridge + 5</v>
      </c>
      <c r="F616" s="11">
        <f t="shared" si="65"/>
        <v>1</v>
      </c>
      <c r="G616" s="11" t="str">
        <f t="shared" si="66"/>
        <v/>
      </c>
      <c r="H616" s="11" t="str">
        <f t="shared" si="67"/>
        <v/>
      </c>
      <c r="I616" s="11">
        <f t="shared" si="68"/>
        <v>10</v>
      </c>
      <c r="J616" s="11">
        <v>1</v>
      </c>
      <c r="K616" s="11">
        <f t="shared" si="69"/>
        <v>1</v>
      </c>
      <c r="L616" s="11" t="str">
        <f>'DA - 51'!H80</f>
        <v xml:space="preserve">Aerobar Bolts: Top 30mm; Bottom 30mm </v>
      </c>
    </row>
    <row r="617" spans="1:12" x14ac:dyDescent="0.25">
      <c r="A617" s="11">
        <f>'DA - 51'!C81</f>
        <v>460</v>
      </c>
      <c r="B617" s="11">
        <f>'DA - 51'!D81</f>
        <v>430</v>
      </c>
      <c r="C617" s="11">
        <f>'DA - 51'!E81</f>
        <v>510</v>
      </c>
      <c r="D617" s="11">
        <f>'DA - 51'!G81</f>
        <v>585</v>
      </c>
      <c r="E617" s="11" t="str">
        <f>'DA - 51'!B81</f>
        <v>Frame: 51 ----- Stem: 90x0  ----- Carbon Aerobar + 30 + bridge</v>
      </c>
      <c r="F617" s="11">
        <f t="shared" si="65"/>
        <v>1</v>
      </c>
      <c r="G617" s="11">
        <f t="shared" si="66"/>
        <v>1</v>
      </c>
      <c r="H617" s="11" t="str">
        <f t="shared" si="67"/>
        <v/>
      </c>
      <c r="I617" s="11">
        <f t="shared" si="68"/>
        <v>10</v>
      </c>
      <c r="J617" s="11">
        <v>1</v>
      </c>
      <c r="K617" s="11">
        <f t="shared" si="69"/>
        <v>1</v>
      </c>
      <c r="L617" s="11" t="str">
        <f>'DA - 51'!H81</f>
        <v xml:space="preserve">Aerobar Bolts: Top 30mm; Bottom 30mm </v>
      </c>
    </row>
    <row r="618" spans="1:12" x14ac:dyDescent="0.25">
      <c r="A618" s="11">
        <f>'DA - 51'!C82</f>
        <v>460</v>
      </c>
      <c r="B618" s="11">
        <f>'DA - 51'!D82</f>
        <v>430</v>
      </c>
      <c r="C618" s="11">
        <f>'DA - 51'!E82</f>
        <v>510</v>
      </c>
      <c r="D618" s="11">
        <f>'DA - 51'!G82</f>
        <v>590</v>
      </c>
      <c r="E618" s="11" t="str">
        <f>'DA - 51'!B82</f>
        <v>Frame: 51 ----- Stem: 90x0  ----- Carbon Aerobar + 30 + bridge + 5</v>
      </c>
      <c r="F618" s="11">
        <f t="shared" si="65"/>
        <v>1</v>
      </c>
      <c r="G618" s="11">
        <f t="shared" si="66"/>
        <v>1</v>
      </c>
      <c r="H618" s="11" t="str">
        <f t="shared" si="67"/>
        <v/>
      </c>
      <c r="I618" s="11">
        <f t="shared" si="68"/>
        <v>10</v>
      </c>
      <c r="J618" s="11">
        <v>1</v>
      </c>
      <c r="K618" s="11">
        <f t="shared" si="69"/>
        <v>1</v>
      </c>
      <c r="L618" s="11" t="str">
        <f>'DA - 51'!H82</f>
        <v xml:space="preserve">Aerobar Bolts: Top 35mm; Bottom 30mm </v>
      </c>
    </row>
    <row r="619" spans="1:12" x14ac:dyDescent="0.25">
      <c r="A619" s="11">
        <f>'DA - 51'!C83</f>
        <v>460</v>
      </c>
      <c r="B619" s="11">
        <f>'DA - 51'!D83</f>
        <v>430</v>
      </c>
      <c r="C619" s="11">
        <f>'DA - 51'!E83</f>
        <v>510</v>
      </c>
      <c r="D619" s="11">
        <f>'DA - 51'!G83</f>
        <v>595</v>
      </c>
      <c r="E619" s="11" t="str">
        <f>'DA - 51'!B83</f>
        <v>Frame: 51 ----- Stem: 90x0  ----- Carbon Aerobar + 40 + bridge</v>
      </c>
      <c r="F619" s="11">
        <f t="shared" si="65"/>
        <v>1</v>
      </c>
      <c r="G619" s="11" t="str">
        <f t="shared" si="66"/>
        <v/>
      </c>
      <c r="H619" s="11">
        <f t="shared" si="67"/>
        <v>1</v>
      </c>
      <c r="I619" s="11">
        <f t="shared" si="68"/>
        <v>10</v>
      </c>
      <c r="J619" s="11">
        <v>1</v>
      </c>
      <c r="K619" s="11">
        <f t="shared" si="69"/>
        <v>1</v>
      </c>
      <c r="L619" s="11" t="str">
        <f>'DA - 51'!H83</f>
        <v xml:space="preserve">Aerobar Bolts: Top 35mm; Bottom 30mm </v>
      </c>
    </row>
    <row r="620" spans="1:12" x14ac:dyDescent="0.25">
      <c r="A620" s="11">
        <f>'DA - 51'!C84</f>
        <v>460</v>
      </c>
      <c r="B620" s="11">
        <f>'DA - 51'!D84</f>
        <v>430</v>
      </c>
      <c r="C620" s="11">
        <f>'DA - 51'!E84</f>
        <v>510</v>
      </c>
      <c r="D620" s="11">
        <f>'DA - 51'!G84</f>
        <v>600</v>
      </c>
      <c r="E620" s="11" t="str">
        <f>'DA - 51'!B84</f>
        <v>Frame: 51 ----- Stem: 90x0  ----- Carbon Aerobar + 40 + bridge + 5</v>
      </c>
      <c r="F620" s="11">
        <f t="shared" si="65"/>
        <v>1</v>
      </c>
      <c r="G620" s="11" t="str">
        <f t="shared" si="66"/>
        <v/>
      </c>
      <c r="H620" s="11">
        <f t="shared" si="67"/>
        <v>1</v>
      </c>
      <c r="I620" s="11">
        <f t="shared" si="68"/>
        <v>10</v>
      </c>
      <c r="J620" s="11">
        <v>1</v>
      </c>
      <c r="K620" s="11">
        <f t="shared" si="69"/>
        <v>1</v>
      </c>
      <c r="L620" s="11" t="str">
        <f>'DA - 51'!H84</f>
        <v xml:space="preserve">Aerobar Bolts: Top 35mm; Bottom 30mm </v>
      </c>
    </row>
    <row r="621" spans="1:12" x14ac:dyDescent="0.25">
      <c r="A621" s="11">
        <f>'DA - 51'!C85</f>
        <v>460</v>
      </c>
      <c r="B621" s="11">
        <f>'DA - 51'!D85</f>
        <v>430</v>
      </c>
      <c r="C621" s="11">
        <f>'DA - 51'!E85</f>
        <v>510</v>
      </c>
      <c r="D621" s="11">
        <f>'DA - 51'!G85</f>
        <v>605</v>
      </c>
      <c r="E621" s="11" t="str">
        <f>'DA - 51'!B85</f>
        <v>Frame: 51 ----- Stem: 90x0  ----- Carbon Aerobar + 40 + bridge + 10</v>
      </c>
      <c r="F621" s="11">
        <f t="shared" si="65"/>
        <v>1</v>
      </c>
      <c r="G621" s="11" t="str">
        <f t="shared" si="66"/>
        <v/>
      </c>
      <c r="H621" s="11">
        <f t="shared" si="67"/>
        <v>1</v>
      </c>
      <c r="I621" s="11">
        <f t="shared" si="68"/>
        <v>10</v>
      </c>
      <c r="J621" s="11">
        <v>1</v>
      </c>
      <c r="K621" s="11">
        <f t="shared" si="69"/>
        <v>1</v>
      </c>
      <c r="L621" s="11" t="str">
        <f>'DA - 51'!H85</f>
        <v xml:space="preserve">Aerobar Bolts: Top 40mm; Bottom 30mm </v>
      </c>
    </row>
    <row r="622" spans="1:12" x14ac:dyDescent="0.25">
      <c r="A622" s="11">
        <f>'DA - 51'!C86</f>
        <v>460</v>
      </c>
      <c r="B622" s="11">
        <f>'DA - 51'!D86</f>
        <v>430</v>
      </c>
      <c r="C622" s="11">
        <f>'DA - 51'!E86</f>
        <v>510</v>
      </c>
      <c r="D622" s="11">
        <f>'DA - 51'!G86</f>
        <v>610</v>
      </c>
      <c r="E622" s="11" t="str">
        <f>'DA - 51'!B86</f>
        <v>Frame: 51 ----- Stem: 90x0  ----- Carbon Aerobar + 40 + bridge + 10 + 5</v>
      </c>
      <c r="F622" s="11">
        <f t="shared" si="65"/>
        <v>1</v>
      </c>
      <c r="G622" s="11" t="str">
        <f t="shared" si="66"/>
        <v/>
      </c>
      <c r="H622" s="11">
        <f t="shared" si="67"/>
        <v>1</v>
      </c>
      <c r="I622" s="11">
        <f t="shared" si="68"/>
        <v>10</v>
      </c>
      <c r="J622" s="11">
        <v>1</v>
      </c>
      <c r="K622" s="11">
        <f t="shared" si="69"/>
        <v>1</v>
      </c>
      <c r="L622" s="11" t="str">
        <f>'DA - 51'!H86</f>
        <v xml:space="preserve">Aerobar Bolts: Top 45mm; Bottom 30mm </v>
      </c>
    </row>
    <row r="623" spans="1:12" x14ac:dyDescent="0.25">
      <c r="A623" s="11">
        <f>'DA - 51'!C87</f>
        <v>480</v>
      </c>
      <c r="B623" s="11">
        <f>'DA - 51'!D87</f>
        <v>450</v>
      </c>
      <c r="C623" s="11">
        <f>'DA - 51'!E87</f>
        <v>530</v>
      </c>
      <c r="D623" s="11">
        <f>'DA - 51'!G87</f>
        <v>0</v>
      </c>
      <c r="E623" s="11" t="str">
        <f>'DA - 51'!B87</f>
        <v>Frame: 51 ----- Stem: 110x0  ----- Carbon Aerobar</v>
      </c>
      <c r="F623" s="11">
        <f t="shared" si="65"/>
        <v>1</v>
      </c>
      <c r="G623" s="11" t="str">
        <f t="shared" si="66"/>
        <v/>
      </c>
      <c r="H623" s="11" t="str">
        <f t="shared" si="67"/>
        <v/>
      </c>
      <c r="I623" s="11">
        <f t="shared" si="68"/>
        <v>-10</v>
      </c>
      <c r="J623" s="11">
        <v>1</v>
      </c>
      <c r="K623" s="11">
        <f t="shared" si="69"/>
        <v>1</v>
      </c>
      <c r="L623" s="11" t="str">
        <f>'DA - 51'!H87</f>
        <v xml:space="preserve">Aerobar Bolts: Top N/A; Bottom N/A </v>
      </c>
    </row>
    <row r="624" spans="1:12" x14ac:dyDescent="0.25">
      <c r="A624" s="11">
        <f>'DA - 51'!C88</f>
        <v>480</v>
      </c>
      <c r="B624" s="11">
        <f>'DA - 51'!D88</f>
        <v>450</v>
      </c>
      <c r="C624" s="11">
        <f>'DA - 51'!E88</f>
        <v>530</v>
      </c>
      <c r="D624" s="11">
        <f>'DA - 51'!G88</f>
        <v>555</v>
      </c>
      <c r="E624" s="11" t="str">
        <f>'DA - 51'!B88</f>
        <v>Frame: 51 ----- Stem: 110x0  ----- Carbon Aerobar + 5</v>
      </c>
      <c r="F624" s="11">
        <f t="shared" si="65"/>
        <v>1</v>
      </c>
      <c r="G624" s="11" t="str">
        <f t="shared" si="66"/>
        <v/>
      </c>
      <c r="H624" s="11" t="str">
        <f t="shared" si="67"/>
        <v/>
      </c>
      <c r="I624" s="11">
        <f t="shared" si="68"/>
        <v>-10</v>
      </c>
      <c r="J624" s="11">
        <v>1</v>
      </c>
      <c r="K624" s="11">
        <f t="shared" si="69"/>
        <v>1</v>
      </c>
      <c r="L624" s="11" t="str">
        <f>'DA - 51'!H88</f>
        <v xml:space="preserve">Aerobar Bolts: Top 45mm; Bottom N/A </v>
      </c>
    </row>
    <row r="625" spans="1:12" x14ac:dyDescent="0.25">
      <c r="A625" s="11">
        <f>'DA - 51'!C89</f>
        <v>480</v>
      </c>
      <c r="B625" s="11">
        <f>'DA - 51'!D89</f>
        <v>450</v>
      </c>
      <c r="C625" s="11">
        <f>'DA - 51'!E89</f>
        <v>530</v>
      </c>
      <c r="D625" s="11">
        <f>'DA - 51'!G89</f>
        <v>560</v>
      </c>
      <c r="E625" s="11" t="str">
        <f>'DA - 51'!B89</f>
        <v>Frame: 51 ----- Stem: 110x0  ----- Carbon Aerobar + 10</v>
      </c>
      <c r="F625" s="11">
        <f t="shared" si="65"/>
        <v>1</v>
      </c>
      <c r="G625" s="11" t="str">
        <f t="shared" si="66"/>
        <v/>
      </c>
      <c r="H625" s="11" t="str">
        <f t="shared" si="67"/>
        <v/>
      </c>
      <c r="I625" s="11">
        <f t="shared" si="68"/>
        <v>-10</v>
      </c>
      <c r="J625" s="11">
        <v>1</v>
      </c>
      <c r="K625" s="11">
        <f t="shared" si="69"/>
        <v>1</v>
      </c>
      <c r="L625" s="11" t="str">
        <f>'DA - 51'!H89</f>
        <v xml:space="preserve">Aerobar Bolts: Top 50mm; Bottom N/A </v>
      </c>
    </row>
    <row r="626" spans="1:12" x14ac:dyDescent="0.25">
      <c r="A626" s="11">
        <f>'DA - 51'!C90</f>
        <v>480</v>
      </c>
      <c r="B626" s="11">
        <f>'DA - 51'!D90</f>
        <v>450</v>
      </c>
      <c r="C626" s="11">
        <f>'DA - 51'!E90</f>
        <v>530</v>
      </c>
      <c r="D626" s="11">
        <f>'DA - 51'!G90</f>
        <v>565</v>
      </c>
      <c r="E626" s="11" t="str">
        <f>'DA - 51'!B90</f>
        <v>Frame: 51 ----- Stem: 110x0  ----- Carbon Aerobar + 5 + 10</v>
      </c>
      <c r="F626" s="11">
        <f t="shared" si="65"/>
        <v>1</v>
      </c>
      <c r="G626" s="11" t="str">
        <f t="shared" si="66"/>
        <v/>
      </c>
      <c r="H626" s="11" t="str">
        <f t="shared" si="67"/>
        <v/>
      </c>
      <c r="I626" s="11">
        <f t="shared" si="68"/>
        <v>-10</v>
      </c>
      <c r="J626" s="11">
        <v>1</v>
      </c>
      <c r="K626" s="11">
        <f t="shared" si="69"/>
        <v>1</v>
      </c>
      <c r="L626" s="11" t="str">
        <f>'DA - 51'!H90</f>
        <v xml:space="preserve">Aerobar Bolts: Top 55mm; Bottom N/A </v>
      </c>
    </row>
    <row r="627" spans="1:12" x14ac:dyDescent="0.25">
      <c r="A627" s="11">
        <f>'DA - 51'!C91</f>
        <v>480</v>
      </c>
      <c r="B627" s="11">
        <f>'DA - 51'!D91</f>
        <v>450</v>
      </c>
      <c r="C627" s="11">
        <f>'DA - 51'!E91</f>
        <v>530</v>
      </c>
      <c r="D627" s="11">
        <f>'DA - 51'!G91</f>
        <v>570</v>
      </c>
      <c r="E627" s="11" t="str">
        <f>'DA - 51'!B91</f>
        <v>Frame: 51 ----- Stem: 110x0  ----- Carbon Aerobar + 20</v>
      </c>
      <c r="F627" s="11">
        <f t="shared" si="65"/>
        <v>1</v>
      </c>
      <c r="G627" s="11" t="str">
        <f t="shared" si="66"/>
        <v/>
      </c>
      <c r="H627" s="11" t="str">
        <f t="shared" si="67"/>
        <v/>
      </c>
      <c r="I627" s="11">
        <f t="shared" si="68"/>
        <v>-10</v>
      </c>
      <c r="J627" s="11">
        <v>1</v>
      </c>
      <c r="K627" s="11">
        <f t="shared" si="69"/>
        <v>1</v>
      </c>
      <c r="L627" s="11" t="str">
        <f>'DA - 51'!H91</f>
        <v xml:space="preserve">Aerobar Bolts: Top 20mm; Bottom 30mm </v>
      </c>
    </row>
    <row r="628" spans="1:12" x14ac:dyDescent="0.25">
      <c r="A628" s="11">
        <f>'DA - 51'!C92</f>
        <v>480</v>
      </c>
      <c r="B628" s="11">
        <f>'DA - 51'!D92</f>
        <v>450</v>
      </c>
      <c r="C628" s="11">
        <f>'DA - 51'!E92</f>
        <v>530</v>
      </c>
      <c r="D628" s="11">
        <f>'DA - 51'!G92</f>
        <v>575</v>
      </c>
      <c r="E628" s="11" t="str">
        <f>'DA - 51'!B92</f>
        <v>Frame: 51 ----- Stem: 110x0  ----- Carbon Aerobar + 20 + 5</v>
      </c>
      <c r="F628" s="11">
        <f t="shared" si="65"/>
        <v>1</v>
      </c>
      <c r="G628" s="11" t="str">
        <f t="shared" si="66"/>
        <v/>
      </c>
      <c r="H628" s="11" t="str">
        <f t="shared" si="67"/>
        <v/>
      </c>
      <c r="I628" s="11">
        <f t="shared" si="68"/>
        <v>-10</v>
      </c>
      <c r="J628" s="11">
        <v>1</v>
      </c>
      <c r="K628" s="11">
        <f t="shared" si="69"/>
        <v>1</v>
      </c>
      <c r="L628" s="11" t="str">
        <f>'DA - 51'!H92</f>
        <v xml:space="preserve">Aerobar Bolts: Top 25mm; Bottom 30mm </v>
      </c>
    </row>
    <row r="629" spans="1:12" x14ac:dyDescent="0.25">
      <c r="A629" s="11">
        <f>'DA - 51'!C93</f>
        <v>480</v>
      </c>
      <c r="B629" s="11">
        <f>'DA - 51'!D93</f>
        <v>450</v>
      </c>
      <c r="C629" s="11">
        <f>'DA - 51'!E93</f>
        <v>530</v>
      </c>
      <c r="D629" s="11">
        <f>'DA - 51'!G93</f>
        <v>575</v>
      </c>
      <c r="E629" s="11" t="str">
        <f>'DA - 51'!B93</f>
        <v>Frame: 51 ----- Stem: 110x0  ----- Carbon Aerobar + 20 + bridge</v>
      </c>
      <c r="F629" s="11">
        <f t="shared" si="65"/>
        <v>1</v>
      </c>
      <c r="G629" s="11" t="str">
        <f t="shared" si="66"/>
        <v/>
      </c>
      <c r="H629" s="11" t="str">
        <f t="shared" si="67"/>
        <v/>
      </c>
      <c r="I629" s="11">
        <f t="shared" si="68"/>
        <v>-10</v>
      </c>
      <c r="J629" s="11">
        <v>1</v>
      </c>
      <c r="K629" s="11">
        <f t="shared" si="69"/>
        <v>1</v>
      </c>
      <c r="L629" s="11" t="str">
        <f>'DA - 51'!H93</f>
        <v xml:space="preserve">Aerobar Bolts: Top 25mm; Bottom 30mm </v>
      </c>
    </row>
    <row r="630" spans="1:12" x14ac:dyDescent="0.25">
      <c r="A630" s="11">
        <f>'DA - 51'!C94</f>
        <v>480</v>
      </c>
      <c r="B630" s="11">
        <f>'DA - 51'!D94</f>
        <v>450</v>
      </c>
      <c r="C630" s="11">
        <f>'DA - 51'!E94</f>
        <v>530</v>
      </c>
      <c r="D630" s="11">
        <f>'DA - 51'!G94</f>
        <v>580</v>
      </c>
      <c r="E630" s="11" t="str">
        <f>'DA - 51'!B94</f>
        <v>Frame: 51 ----- Stem: 110x0  ----- Carbon Aerobar + 30</v>
      </c>
      <c r="F630" s="11">
        <f t="shared" si="65"/>
        <v>1</v>
      </c>
      <c r="G630" s="11">
        <f t="shared" si="66"/>
        <v>1</v>
      </c>
      <c r="H630" s="11" t="str">
        <f t="shared" si="67"/>
        <v/>
      </c>
      <c r="I630" s="11">
        <f t="shared" si="68"/>
        <v>-10</v>
      </c>
      <c r="J630" s="11">
        <v>1</v>
      </c>
      <c r="K630" s="11">
        <f t="shared" si="69"/>
        <v>1</v>
      </c>
      <c r="L630" s="11" t="str">
        <f>'DA - 51'!H94</f>
        <v xml:space="preserve">Aerobar Bolts: Top 25mm; Bottom 30mm </v>
      </c>
    </row>
    <row r="631" spans="1:12" x14ac:dyDescent="0.25">
      <c r="A631" s="11">
        <f>'DA - 51'!C95</f>
        <v>480</v>
      </c>
      <c r="B631" s="11">
        <f>'DA - 51'!D95</f>
        <v>450</v>
      </c>
      <c r="C631" s="11">
        <f>'DA - 51'!E95</f>
        <v>530</v>
      </c>
      <c r="D631" s="11">
        <f>'DA - 51'!G95</f>
        <v>580</v>
      </c>
      <c r="E631" s="11" t="str">
        <f>'DA - 51'!B95</f>
        <v>Frame: 51 ----- Stem: 110x0  ----- Carbon Aerobar + 20 + bridge + 5</v>
      </c>
      <c r="F631" s="11">
        <f t="shared" si="65"/>
        <v>1</v>
      </c>
      <c r="G631" s="11" t="str">
        <f t="shared" si="66"/>
        <v/>
      </c>
      <c r="H631" s="11" t="str">
        <f t="shared" si="67"/>
        <v/>
      </c>
      <c r="I631" s="11">
        <f t="shared" si="68"/>
        <v>-10</v>
      </c>
      <c r="J631" s="11">
        <v>1</v>
      </c>
      <c r="K631" s="11">
        <f t="shared" si="69"/>
        <v>1</v>
      </c>
      <c r="L631" s="11" t="str">
        <f>'DA - 51'!H95</f>
        <v xml:space="preserve">Aerobar Bolts: Top 30mm; Bottom 30mm </v>
      </c>
    </row>
    <row r="632" spans="1:12" x14ac:dyDescent="0.25">
      <c r="A632" s="11">
        <f>'DA - 51'!C96</f>
        <v>480</v>
      </c>
      <c r="B632" s="11">
        <f>'DA - 51'!D96</f>
        <v>450</v>
      </c>
      <c r="C632" s="11">
        <f>'DA - 51'!E96</f>
        <v>530</v>
      </c>
      <c r="D632" s="11">
        <f>'DA - 51'!G96</f>
        <v>585</v>
      </c>
      <c r="E632" s="11" t="str">
        <f>'DA - 51'!B96</f>
        <v>Frame: 51 ----- Stem: 110x0  ----- Carbon Aerobar + 30 + bridge</v>
      </c>
      <c r="F632" s="11">
        <f t="shared" si="65"/>
        <v>1</v>
      </c>
      <c r="G632" s="11">
        <f t="shared" si="66"/>
        <v>1</v>
      </c>
      <c r="H632" s="11" t="str">
        <f t="shared" si="67"/>
        <v/>
      </c>
      <c r="I632" s="11">
        <f t="shared" si="68"/>
        <v>-10</v>
      </c>
      <c r="J632" s="11">
        <v>1</v>
      </c>
      <c r="K632" s="11">
        <f t="shared" si="69"/>
        <v>1</v>
      </c>
      <c r="L632" s="11" t="str">
        <f>'DA - 51'!H96</f>
        <v xml:space="preserve">Aerobar Bolts: Top 30mm; Bottom 30mm </v>
      </c>
    </row>
    <row r="633" spans="1:12" x14ac:dyDescent="0.25">
      <c r="A633" s="11">
        <f>'DA - 51'!C97</f>
        <v>480</v>
      </c>
      <c r="B633" s="11">
        <f>'DA - 51'!D97</f>
        <v>450</v>
      </c>
      <c r="C633" s="11">
        <f>'DA - 51'!E97</f>
        <v>530</v>
      </c>
      <c r="D633" s="11">
        <f>'DA - 51'!G97</f>
        <v>590</v>
      </c>
      <c r="E633" s="11" t="str">
        <f>'DA - 51'!B97</f>
        <v>Frame: 51 ----- Stem: 110x0  ----- Carbon Aerobar + 30 + bridge + 5</v>
      </c>
      <c r="F633" s="11">
        <f t="shared" si="65"/>
        <v>1</v>
      </c>
      <c r="G633" s="11">
        <f t="shared" si="66"/>
        <v>1</v>
      </c>
      <c r="H633" s="11" t="str">
        <f t="shared" si="67"/>
        <v/>
      </c>
      <c r="I633" s="11">
        <f t="shared" si="68"/>
        <v>-10</v>
      </c>
      <c r="J633" s="11">
        <v>1</v>
      </c>
      <c r="K633" s="11">
        <f t="shared" si="69"/>
        <v>1</v>
      </c>
      <c r="L633" s="11" t="str">
        <f>'DA - 51'!H97</f>
        <v xml:space="preserve">Aerobar Bolts: Top 35mm; Bottom 30mm </v>
      </c>
    </row>
    <row r="634" spans="1:12" x14ac:dyDescent="0.25">
      <c r="A634" s="11">
        <f>'DA - 51'!C98</f>
        <v>480</v>
      </c>
      <c r="B634" s="11">
        <f>'DA - 51'!D98</f>
        <v>450</v>
      </c>
      <c r="C634" s="11">
        <f>'DA - 51'!E98</f>
        <v>530</v>
      </c>
      <c r="D634" s="11">
        <f>'DA - 51'!G98</f>
        <v>595</v>
      </c>
      <c r="E634" s="11" t="str">
        <f>'DA - 51'!B98</f>
        <v>Frame: 51 ----- Stem: 110x0  ----- Carbon Aerobar + 40 + bridge</v>
      </c>
      <c r="F634" s="11">
        <f t="shared" si="65"/>
        <v>1</v>
      </c>
      <c r="G634" s="11" t="str">
        <f t="shared" si="66"/>
        <v/>
      </c>
      <c r="H634" s="11">
        <f t="shared" si="67"/>
        <v>1</v>
      </c>
      <c r="I634" s="11">
        <f t="shared" si="68"/>
        <v>-10</v>
      </c>
      <c r="J634" s="11">
        <v>1</v>
      </c>
      <c r="K634" s="11">
        <f t="shared" si="69"/>
        <v>1</v>
      </c>
      <c r="L634" s="11" t="str">
        <f>'DA - 51'!H98</f>
        <v xml:space="preserve">Aerobar Bolts: Top 35mm; Bottom 30mm </v>
      </c>
    </row>
    <row r="635" spans="1:12" x14ac:dyDescent="0.25">
      <c r="A635" s="11">
        <f>'DA - 51'!C99</f>
        <v>480</v>
      </c>
      <c r="B635" s="11">
        <f>'DA - 51'!D99</f>
        <v>450</v>
      </c>
      <c r="C635" s="11">
        <f>'DA - 51'!E99</f>
        <v>530</v>
      </c>
      <c r="D635" s="11">
        <f>'DA - 51'!G99</f>
        <v>600</v>
      </c>
      <c r="E635" s="11" t="str">
        <f>'DA - 51'!B99</f>
        <v>Frame: 51 ----- Stem: 110x0  ----- Carbon Aerobar + 40 + bridge + 5</v>
      </c>
      <c r="F635" s="11">
        <f t="shared" si="65"/>
        <v>1</v>
      </c>
      <c r="G635" s="11" t="str">
        <f t="shared" si="66"/>
        <v/>
      </c>
      <c r="H635" s="11">
        <f t="shared" si="67"/>
        <v>1</v>
      </c>
      <c r="I635" s="11">
        <f t="shared" si="68"/>
        <v>-10</v>
      </c>
      <c r="J635" s="11">
        <v>1</v>
      </c>
      <c r="K635" s="11">
        <f t="shared" si="69"/>
        <v>1</v>
      </c>
      <c r="L635" s="11" t="str">
        <f>'DA - 51'!H99</f>
        <v xml:space="preserve">Aerobar Bolts: Top 35mm; Bottom 30mm </v>
      </c>
    </row>
    <row r="636" spans="1:12" x14ac:dyDescent="0.25">
      <c r="A636" s="11">
        <f>'DA - 51'!C100</f>
        <v>480</v>
      </c>
      <c r="B636" s="11">
        <f>'DA - 51'!D100</f>
        <v>450</v>
      </c>
      <c r="C636" s="11">
        <f>'DA - 51'!E100</f>
        <v>530</v>
      </c>
      <c r="D636" s="11">
        <f>'DA - 51'!G100</f>
        <v>605</v>
      </c>
      <c r="E636" s="11" t="str">
        <f>'DA - 51'!B100</f>
        <v>Frame: 51 ----- Stem: 110x0  ----- Carbon Aerobar + 40 + bridge + 10</v>
      </c>
      <c r="F636" s="11">
        <f t="shared" si="65"/>
        <v>1</v>
      </c>
      <c r="G636" s="11" t="str">
        <f t="shared" si="66"/>
        <v/>
      </c>
      <c r="H636" s="11">
        <f t="shared" si="67"/>
        <v>1</v>
      </c>
      <c r="I636" s="11">
        <f t="shared" si="68"/>
        <v>-10</v>
      </c>
      <c r="J636" s="11">
        <v>1</v>
      </c>
      <c r="K636" s="11">
        <f t="shared" si="69"/>
        <v>1</v>
      </c>
      <c r="L636" s="11" t="str">
        <f>'DA - 51'!H100</f>
        <v xml:space="preserve">Aerobar Bolts: Top 40mm; Bottom 30mm </v>
      </c>
    </row>
    <row r="637" spans="1:12" x14ac:dyDescent="0.25">
      <c r="A637" s="11">
        <f>'DA - 51'!C101</f>
        <v>480</v>
      </c>
      <c r="B637" s="11">
        <f>'DA - 51'!D101</f>
        <v>450</v>
      </c>
      <c r="C637" s="11">
        <f>'DA - 51'!E101</f>
        <v>530</v>
      </c>
      <c r="D637" s="11">
        <f>'DA - 51'!G101</f>
        <v>610</v>
      </c>
      <c r="E637" s="11" t="str">
        <f>'DA - 51'!B101</f>
        <v>Frame: 51 ----- Stem: 110x0  ----- Carbon Aerobar + 40 + bridge + 10 + 5</v>
      </c>
      <c r="F637" s="11">
        <f t="shared" si="65"/>
        <v>1</v>
      </c>
      <c r="G637" s="11" t="str">
        <f t="shared" si="66"/>
        <v/>
      </c>
      <c r="H637" s="11">
        <f t="shared" si="67"/>
        <v>1</v>
      </c>
      <c r="I637" s="11">
        <f t="shared" si="68"/>
        <v>-10</v>
      </c>
      <c r="J637" s="11">
        <v>1</v>
      </c>
      <c r="K637" s="11">
        <f t="shared" si="69"/>
        <v>1</v>
      </c>
      <c r="L637" s="11" t="str">
        <f>'DA - 51'!H101</f>
        <v xml:space="preserve">Aerobar Bolts: Top 45mm; Bottom 30mm </v>
      </c>
    </row>
    <row r="638" spans="1:12" x14ac:dyDescent="0.25">
      <c r="A638" s="11">
        <f>'DA - 51'!C102</f>
        <v>435</v>
      </c>
      <c r="B638" s="11">
        <f>'DA - 51'!D102</f>
        <v>405</v>
      </c>
      <c r="C638" s="11">
        <f>'DA - 51'!E102</f>
        <v>485</v>
      </c>
      <c r="D638" s="11">
        <f>'DA - 51'!G102</f>
        <v>595</v>
      </c>
      <c r="E638" s="11" t="str">
        <f>'DA - 51'!B102</f>
        <v>Frame: 51 ----- Stem: 70x30  ----- Aluminium Aerobar</v>
      </c>
      <c r="F638" s="11">
        <f t="shared" si="65"/>
        <v>1</v>
      </c>
      <c r="G638" s="11" t="str">
        <f t="shared" si="66"/>
        <v/>
      </c>
      <c r="H638" s="11" t="str">
        <f t="shared" si="67"/>
        <v/>
      </c>
      <c r="I638" s="11">
        <f t="shared" si="68"/>
        <v>35</v>
      </c>
      <c r="J638" s="11">
        <v>1</v>
      </c>
      <c r="K638" s="11">
        <f t="shared" si="69"/>
        <v>1</v>
      </c>
      <c r="L638" s="11" t="str">
        <f>'DA - 51'!H102</f>
        <v xml:space="preserve">Aerobar Bolts: Top 20mm; Bottom N/A </v>
      </c>
    </row>
    <row r="639" spans="1:12" x14ac:dyDescent="0.25">
      <c r="A639" s="11">
        <f>'DA - 51'!C103</f>
        <v>435</v>
      </c>
      <c r="B639" s="11">
        <f>'DA - 51'!D103</f>
        <v>405</v>
      </c>
      <c r="C639" s="11">
        <f>'DA - 51'!E103</f>
        <v>485</v>
      </c>
      <c r="D639" s="11">
        <f>'DA - 51'!G103</f>
        <v>600</v>
      </c>
      <c r="E639" s="11" t="str">
        <f>'DA - 51'!B103</f>
        <v>Frame: 51 ----- Stem: 70x30  ----- Aluminium Aerobar + 5</v>
      </c>
      <c r="F639" s="11">
        <f t="shared" si="65"/>
        <v>1</v>
      </c>
      <c r="G639" s="11" t="str">
        <f t="shared" si="66"/>
        <v/>
      </c>
      <c r="H639" s="11" t="str">
        <f t="shared" si="67"/>
        <v/>
      </c>
      <c r="I639" s="11">
        <f t="shared" si="68"/>
        <v>35</v>
      </c>
      <c r="J639" s="11">
        <v>1</v>
      </c>
      <c r="K639" s="11">
        <f t="shared" si="69"/>
        <v>1</v>
      </c>
      <c r="L639" s="11" t="str">
        <f>'DA - 51'!H103</f>
        <v xml:space="preserve">Aerobar Bolts: Top 25mm; Bottom N/A </v>
      </c>
    </row>
    <row r="640" spans="1:12" x14ac:dyDescent="0.25">
      <c r="A640" s="11">
        <f>'DA - 51'!C104</f>
        <v>435</v>
      </c>
      <c r="B640" s="11">
        <f>'DA - 51'!D104</f>
        <v>405</v>
      </c>
      <c r="C640" s="11">
        <f>'DA - 51'!E104</f>
        <v>485</v>
      </c>
      <c r="D640" s="11">
        <f>'DA - 51'!G104</f>
        <v>605</v>
      </c>
      <c r="E640" s="11" t="str">
        <f>'DA - 51'!B104</f>
        <v>Frame: 51 ----- Stem: 70x30  ----- Aluminium Aerobar + 10</v>
      </c>
      <c r="F640" s="11">
        <f t="shared" si="65"/>
        <v>1</v>
      </c>
      <c r="G640" s="11" t="str">
        <f t="shared" si="66"/>
        <v/>
      </c>
      <c r="H640" s="11" t="str">
        <f t="shared" si="67"/>
        <v/>
      </c>
      <c r="I640" s="11">
        <f t="shared" si="68"/>
        <v>35</v>
      </c>
      <c r="J640" s="11">
        <v>1</v>
      </c>
      <c r="K640" s="11">
        <f t="shared" si="69"/>
        <v>1</v>
      </c>
      <c r="L640" s="11" t="str">
        <f>'DA - 51'!H104</f>
        <v xml:space="preserve">Aerobar Bolts: Top 30mm; Bottom N/A </v>
      </c>
    </row>
    <row r="641" spans="1:12" x14ac:dyDescent="0.25">
      <c r="A641" s="11">
        <f>'DA - 51'!C105</f>
        <v>435</v>
      </c>
      <c r="B641" s="11">
        <f>'DA - 51'!D105</f>
        <v>405</v>
      </c>
      <c r="C641" s="11">
        <f>'DA - 51'!E105</f>
        <v>485</v>
      </c>
      <c r="D641" s="11">
        <f>'DA - 51'!G105</f>
        <v>610</v>
      </c>
      <c r="E641" s="11" t="str">
        <f>'DA - 51'!B105</f>
        <v>Frame: 51 ----- Stem: 70x30  ----- Aluminium Aerobar + 5 + 10</v>
      </c>
      <c r="F641" s="11">
        <f t="shared" ref="F641:F704" si="70">IF(AND($F$5&gt;=B641,$F$5&lt;=C641),1,"")</f>
        <v>1</v>
      </c>
      <c r="G641" s="11" t="str">
        <f t="shared" si="66"/>
        <v/>
      </c>
      <c r="H641" s="11" t="str">
        <f t="shared" si="67"/>
        <v/>
      </c>
      <c r="I641" s="11">
        <f t="shared" si="68"/>
        <v>35</v>
      </c>
      <c r="J641" s="11">
        <v>1</v>
      </c>
      <c r="K641" s="11">
        <f t="shared" si="69"/>
        <v>1</v>
      </c>
      <c r="L641" s="11" t="str">
        <f>'DA - 51'!H105</f>
        <v xml:space="preserve">Aerobar Bolts: Top 35mm; Bottom N/A </v>
      </c>
    </row>
    <row r="642" spans="1:12" x14ac:dyDescent="0.25">
      <c r="A642" s="11">
        <f>'DA - 51'!C106</f>
        <v>435</v>
      </c>
      <c r="B642" s="11">
        <f>'DA - 51'!D106</f>
        <v>405</v>
      </c>
      <c r="C642" s="11">
        <f>'DA - 51'!E106</f>
        <v>485</v>
      </c>
      <c r="D642" s="11">
        <f>'DA - 51'!G106</f>
        <v>615</v>
      </c>
      <c r="E642" s="11" t="str">
        <f>'DA - 51'!B106</f>
        <v>Frame: 51 ----- Stem: 70x30  ----- Aluminium Aerobar + 20</v>
      </c>
      <c r="F642" s="11">
        <f t="shared" si="70"/>
        <v>1</v>
      </c>
      <c r="G642" s="11" t="str">
        <f t="shared" si="66"/>
        <v/>
      </c>
      <c r="H642" s="11" t="str">
        <f t="shared" si="67"/>
        <v/>
      </c>
      <c r="I642" s="11">
        <f t="shared" si="68"/>
        <v>35</v>
      </c>
      <c r="J642" s="11">
        <v>1</v>
      </c>
      <c r="K642" s="11">
        <f t="shared" si="69"/>
        <v>1</v>
      </c>
      <c r="L642" s="11" t="str">
        <f>'DA - 51'!H106</f>
        <v xml:space="preserve">Aerobar Bolts: Top 20mm; Bottom 15mm </v>
      </c>
    </row>
    <row r="643" spans="1:12" x14ac:dyDescent="0.25">
      <c r="A643" s="11">
        <f>'DA - 51'!C107</f>
        <v>435</v>
      </c>
      <c r="B643" s="11">
        <f>'DA - 51'!D107</f>
        <v>405</v>
      </c>
      <c r="C643" s="11">
        <f>'DA - 51'!E107</f>
        <v>485</v>
      </c>
      <c r="D643" s="11">
        <f>'DA - 51'!G107</f>
        <v>620</v>
      </c>
      <c r="E643" s="11" t="str">
        <f>'DA - 51'!B107</f>
        <v>Frame: 51 ----- Stem: 70x30  ----- Aluminium Aerobar + 20 + 5</v>
      </c>
      <c r="F643" s="11">
        <f t="shared" si="70"/>
        <v>1</v>
      </c>
      <c r="G643" s="11" t="str">
        <f t="shared" si="66"/>
        <v/>
      </c>
      <c r="H643" s="11" t="str">
        <f t="shared" si="67"/>
        <v/>
      </c>
      <c r="I643" s="11">
        <f t="shared" si="68"/>
        <v>35</v>
      </c>
      <c r="J643" s="11">
        <v>1</v>
      </c>
      <c r="K643" s="11">
        <f t="shared" si="69"/>
        <v>1</v>
      </c>
      <c r="L643" s="11" t="str">
        <f>'DA - 51'!H107</f>
        <v xml:space="preserve">Aerobar Bolts: Top 25mm; Bottom 15mm </v>
      </c>
    </row>
    <row r="644" spans="1:12" x14ac:dyDescent="0.25">
      <c r="A644" s="11">
        <f>'DA - 51'!C108</f>
        <v>435</v>
      </c>
      <c r="B644" s="11">
        <f>'DA - 51'!D108</f>
        <v>405</v>
      </c>
      <c r="C644" s="11">
        <f>'DA - 51'!E108</f>
        <v>485</v>
      </c>
      <c r="D644" s="11">
        <f>'DA - 51'!G108</f>
        <v>620</v>
      </c>
      <c r="E644" s="11" t="str">
        <f>'DA - 51'!B108</f>
        <v>Frame: 51 ----- Stem: 70x30  ----- Aluminium Aerobar + 20 + bridge</v>
      </c>
      <c r="F644" s="11">
        <f t="shared" si="70"/>
        <v>1</v>
      </c>
      <c r="G644" s="11" t="str">
        <f t="shared" si="66"/>
        <v/>
      </c>
      <c r="H644" s="11" t="str">
        <f t="shared" si="67"/>
        <v/>
      </c>
      <c r="I644" s="11">
        <f t="shared" si="68"/>
        <v>35</v>
      </c>
      <c r="J644" s="11">
        <v>1</v>
      </c>
      <c r="K644" s="11">
        <f t="shared" si="69"/>
        <v>1</v>
      </c>
      <c r="L644" s="11" t="str">
        <f>'DA - 51'!H108</f>
        <v xml:space="preserve">Aerobar Bolts: Top 25mm; Bottom 15mm </v>
      </c>
    </row>
    <row r="645" spans="1:12" x14ac:dyDescent="0.25">
      <c r="A645" s="11">
        <f>'DA - 51'!C109</f>
        <v>435</v>
      </c>
      <c r="B645" s="11">
        <f>'DA - 51'!D109</f>
        <v>405</v>
      </c>
      <c r="C645" s="11">
        <f>'DA - 51'!E109</f>
        <v>485</v>
      </c>
      <c r="D645" s="11">
        <f>'DA - 51'!G109</f>
        <v>625</v>
      </c>
      <c r="E645" s="11" t="str">
        <f>'DA - 51'!B109</f>
        <v>Frame: 51 ----- Stem: 70x30  ----- Aluminium Aerobar + 30</v>
      </c>
      <c r="F645" s="11">
        <f t="shared" si="70"/>
        <v>1</v>
      </c>
      <c r="G645" s="11">
        <f t="shared" si="66"/>
        <v>1</v>
      </c>
      <c r="H645" s="11" t="str">
        <f t="shared" si="67"/>
        <v/>
      </c>
      <c r="I645" s="11">
        <f t="shared" si="68"/>
        <v>35</v>
      </c>
      <c r="J645" s="11">
        <v>1</v>
      </c>
      <c r="K645" s="11">
        <f t="shared" si="69"/>
        <v>1</v>
      </c>
      <c r="L645" s="11" t="str">
        <f>'DA - 51'!H109</f>
        <v xml:space="preserve">Aerobar Bolts: Top 25mm; Bottom 15mm </v>
      </c>
    </row>
    <row r="646" spans="1:12" x14ac:dyDescent="0.25">
      <c r="A646" s="11">
        <f>'DA - 51'!C110</f>
        <v>435</v>
      </c>
      <c r="B646" s="11">
        <f>'DA - 51'!D110</f>
        <v>405</v>
      </c>
      <c r="C646" s="11">
        <f>'DA - 51'!E110</f>
        <v>485</v>
      </c>
      <c r="D646" s="11">
        <f>'DA - 51'!G110</f>
        <v>625</v>
      </c>
      <c r="E646" s="11" t="str">
        <f>'DA - 51'!B110</f>
        <v>Frame: 51 ----- Stem: 70x30  ----- Aluminium Aerobar + 20 + bridge + 5</v>
      </c>
      <c r="F646" s="11">
        <f t="shared" si="70"/>
        <v>1</v>
      </c>
      <c r="G646" s="11" t="str">
        <f t="shared" si="66"/>
        <v/>
      </c>
      <c r="H646" s="11" t="str">
        <f t="shared" si="67"/>
        <v/>
      </c>
      <c r="I646" s="11">
        <f t="shared" si="68"/>
        <v>35</v>
      </c>
      <c r="J646" s="11">
        <v>1</v>
      </c>
      <c r="K646" s="11">
        <f t="shared" si="69"/>
        <v>1</v>
      </c>
      <c r="L646" s="11" t="str">
        <f>'DA - 51'!H110</f>
        <v xml:space="preserve">Aerobar Bolts: Top 25mm; Bottom 15mm </v>
      </c>
    </row>
    <row r="647" spans="1:12" x14ac:dyDescent="0.25">
      <c r="A647" s="11">
        <f>'DA - 51'!C111</f>
        <v>435</v>
      </c>
      <c r="B647" s="11">
        <f>'DA - 51'!D111</f>
        <v>405</v>
      </c>
      <c r="C647" s="11">
        <f>'DA - 51'!E111</f>
        <v>485</v>
      </c>
      <c r="D647" s="11">
        <f>'DA - 51'!G111</f>
        <v>630</v>
      </c>
      <c r="E647" s="11" t="str">
        <f>'DA - 51'!B111</f>
        <v>Frame: 51 ----- Stem: 70x30  ----- Aluminium Aerobar + 30 + bridge</v>
      </c>
      <c r="F647" s="11">
        <f t="shared" si="70"/>
        <v>1</v>
      </c>
      <c r="G647" s="11">
        <f t="shared" si="66"/>
        <v>1</v>
      </c>
      <c r="H647" s="11" t="str">
        <f t="shared" si="67"/>
        <v/>
      </c>
      <c r="I647" s="11">
        <f t="shared" si="68"/>
        <v>35</v>
      </c>
      <c r="J647" s="11">
        <v>1</v>
      </c>
      <c r="K647" s="11">
        <f t="shared" si="69"/>
        <v>1</v>
      </c>
      <c r="L647" s="11" t="str">
        <f>'DA - 51'!H111</f>
        <v xml:space="preserve">Aerobar Bolts: Top 30mm; Bottom 15mm </v>
      </c>
    </row>
    <row r="648" spans="1:12" x14ac:dyDescent="0.25">
      <c r="A648" s="11">
        <f>'DA - 51'!C112</f>
        <v>435</v>
      </c>
      <c r="B648" s="11">
        <f>'DA - 51'!D112</f>
        <v>405</v>
      </c>
      <c r="C648" s="11">
        <f>'DA - 51'!E112</f>
        <v>485</v>
      </c>
      <c r="D648" s="11">
        <f>'DA - 51'!G112</f>
        <v>635</v>
      </c>
      <c r="E648" s="11" t="str">
        <f>'DA - 51'!B112</f>
        <v>Frame: 51 ----- Stem: 70x30  ----- Aluminium Aerobar + 30 + bridge + 5</v>
      </c>
      <c r="F648" s="11">
        <f t="shared" si="70"/>
        <v>1</v>
      </c>
      <c r="G648" s="11">
        <f t="shared" si="66"/>
        <v>1</v>
      </c>
      <c r="H648" s="11" t="str">
        <f t="shared" si="67"/>
        <v/>
      </c>
      <c r="I648" s="11">
        <f t="shared" si="68"/>
        <v>35</v>
      </c>
      <c r="J648" s="11">
        <v>1</v>
      </c>
      <c r="K648" s="11">
        <f t="shared" si="69"/>
        <v>1</v>
      </c>
      <c r="L648" s="11" t="str">
        <f>'DA - 51'!H112</f>
        <v xml:space="preserve">Aerobar Bolts: Top 30mm; Bottom 15mm </v>
      </c>
    </row>
    <row r="649" spans="1:12" x14ac:dyDescent="0.25">
      <c r="A649" s="11">
        <f>'DA - 51'!C113</f>
        <v>435</v>
      </c>
      <c r="B649" s="11">
        <f>'DA - 51'!D113</f>
        <v>405</v>
      </c>
      <c r="C649" s="11">
        <f>'DA - 51'!E113</f>
        <v>485</v>
      </c>
      <c r="D649" s="11">
        <f>'DA - 51'!G113</f>
        <v>640</v>
      </c>
      <c r="E649" s="11" t="str">
        <f>'DA - 51'!B113</f>
        <v>Frame: 51 ----- Stem: 70x30  ----- Aluminium Aerobar + 40 + bridge</v>
      </c>
      <c r="F649" s="11">
        <f t="shared" si="70"/>
        <v>1</v>
      </c>
      <c r="G649" s="11" t="str">
        <f t="shared" ref="G649:G712" si="71">IF(ISNUMBER(FIND(" 30",E649)),1,"")</f>
        <v/>
      </c>
      <c r="H649" s="11">
        <f t="shared" ref="H649:H712" si="72">IF(ISNUMBER(FIND(" 40",E649)),1,"")</f>
        <v>1</v>
      </c>
      <c r="I649" s="11">
        <f t="shared" ref="I649:I712" si="73">$F$5-A649</f>
        <v>35</v>
      </c>
      <c r="J649" s="11">
        <v>1</v>
      </c>
      <c r="K649" s="11">
        <f t="shared" ref="K649:K712" si="74">IF(ISNUMBER(FIND(" 58",E649)),$AD$9,IF(ISNUMBER(FIND(" 56",E649)),$AD$8,IF(ISNUMBER(FIND(" 54",E649)),$AD$7,IF(ISNUMBER(FIND(" 51",E649)),$AD$6,IF(ISNUMBER(FIND(" 47",E649)),$AD$5,"")))))</f>
        <v>1</v>
      </c>
      <c r="L649" s="11" t="str">
        <f>'DA - 51'!H113</f>
        <v xml:space="preserve">Aerobar Bolts: Top 35mm; Bottom 15mm </v>
      </c>
    </row>
    <row r="650" spans="1:12" x14ac:dyDescent="0.25">
      <c r="A650" s="11">
        <f>'DA - 51'!C114</f>
        <v>435</v>
      </c>
      <c r="B650" s="11">
        <f>'DA - 51'!D114</f>
        <v>405</v>
      </c>
      <c r="C650" s="11">
        <f>'DA - 51'!E114</f>
        <v>485</v>
      </c>
      <c r="D650" s="11">
        <f>'DA - 51'!G114</f>
        <v>645</v>
      </c>
      <c r="E650" s="11" t="str">
        <f>'DA - 51'!B114</f>
        <v>Frame: 51 ----- Stem: 70x30  ----- Aluminium Aerobar + 40 + bridge + 5</v>
      </c>
      <c r="F650" s="11">
        <f t="shared" si="70"/>
        <v>1</v>
      </c>
      <c r="G650" s="11" t="str">
        <f t="shared" si="71"/>
        <v/>
      </c>
      <c r="H650" s="11">
        <f t="shared" si="72"/>
        <v>1</v>
      </c>
      <c r="I650" s="11">
        <f t="shared" si="73"/>
        <v>35</v>
      </c>
      <c r="J650" s="11">
        <v>1</v>
      </c>
      <c r="K650" s="11">
        <f t="shared" si="74"/>
        <v>1</v>
      </c>
      <c r="L650" s="11" t="str">
        <f>'DA - 51'!H114</f>
        <v xml:space="preserve">Aerobar Bolts: Top 35mm; Bottom 15mm </v>
      </c>
    </row>
    <row r="651" spans="1:12" x14ac:dyDescent="0.25">
      <c r="A651" s="11">
        <f>'DA - 51'!C115</f>
        <v>435</v>
      </c>
      <c r="B651" s="11">
        <f>'DA - 51'!D115</f>
        <v>405</v>
      </c>
      <c r="C651" s="11">
        <f>'DA - 51'!E115</f>
        <v>485</v>
      </c>
      <c r="D651" s="11">
        <f>'DA - 51'!G115</f>
        <v>650</v>
      </c>
      <c r="E651" s="11" t="str">
        <f>'DA - 51'!B115</f>
        <v>Frame: 51 ----- Stem: 70x30  ----- Aluminium Aerobar + 40 + bridge + 10</v>
      </c>
      <c r="F651" s="11">
        <f t="shared" si="70"/>
        <v>1</v>
      </c>
      <c r="G651" s="11" t="str">
        <f t="shared" si="71"/>
        <v/>
      </c>
      <c r="H651" s="11">
        <f t="shared" si="72"/>
        <v>1</v>
      </c>
      <c r="I651" s="11">
        <f t="shared" si="73"/>
        <v>35</v>
      </c>
      <c r="J651" s="11">
        <v>1</v>
      </c>
      <c r="K651" s="11">
        <f t="shared" si="74"/>
        <v>1</v>
      </c>
      <c r="L651" s="11" t="str">
        <f>'DA - 51'!H115</f>
        <v xml:space="preserve">Aerobar Bolts: Top 35mm; Bottom 15mm </v>
      </c>
    </row>
    <row r="652" spans="1:12" x14ac:dyDescent="0.25">
      <c r="A652" s="11">
        <f>'DA - 51'!C116</f>
        <v>435</v>
      </c>
      <c r="B652" s="11">
        <f>'DA - 51'!D116</f>
        <v>405</v>
      </c>
      <c r="C652" s="11">
        <f>'DA - 51'!E116</f>
        <v>485</v>
      </c>
      <c r="D652" s="11">
        <f>'DA - 51'!G116</f>
        <v>655</v>
      </c>
      <c r="E652" s="11" t="str">
        <f>'DA - 51'!B116</f>
        <v>Frame: 51 ----- Stem: 70x30  ----- Aluminium Aerobar + 40 + bridge + 10 + 5</v>
      </c>
      <c r="F652" s="11">
        <f t="shared" si="70"/>
        <v>1</v>
      </c>
      <c r="G652" s="11" t="str">
        <f t="shared" si="71"/>
        <v/>
      </c>
      <c r="H652" s="11">
        <f t="shared" si="72"/>
        <v>1</v>
      </c>
      <c r="I652" s="11">
        <f t="shared" si="73"/>
        <v>35</v>
      </c>
      <c r="J652" s="11">
        <v>1</v>
      </c>
      <c r="K652" s="11">
        <f t="shared" si="74"/>
        <v>1</v>
      </c>
      <c r="L652" s="11" t="str">
        <f>'DA - 51'!H116</f>
        <v xml:space="preserve">Aerobar Bolts: Top 35mm; Bottom 25mm </v>
      </c>
    </row>
    <row r="653" spans="1:12" x14ac:dyDescent="0.25">
      <c r="A653" s="11">
        <f>'DA - 51'!C117</f>
        <v>425</v>
      </c>
      <c r="B653" s="11">
        <f>'DA - 51'!D117</f>
        <v>395</v>
      </c>
      <c r="C653" s="11">
        <f>'DA - 51'!E117</f>
        <v>475</v>
      </c>
      <c r="D653" s="11">
        <f>'DA - 51'!G117</f>
        <v>625</v>
      </c>
      <c r="E653" s="11" t="str">
        <f>'DA - 51'!B117</f>
        <v>Frame: 51 ----- Stem: 70x60  ----- Aluminium Aerobar</v>
      </c>
      <c r="F653" s="11">
        <f t="shared" si="70"/>
        <v>1</v>
      </c>
      <c r="G653" s="11" t="str">
        <f t="shared" si="71"/>
        <v/>
      </c>
      <c r="H653" s="11" t="str">
        <f t="shared" si="72"/>
        <v/>
      </c>
      <c r="I653" s="11">
        <f t="shared" si="73"/>
        <v>45</v>
      </c>
      <c r="J653" s="11">
        <v>1</v>
      </c>
      <c r="K653" s="11">
        <f t="shared" si="74"/>
        <v>1</v>
      </c>
      <c r="L653" s="11" t="str">
        <f>'DA - 51'!H117</f>
        <v xml:space="preserve">Aerobar Bolts: Top 20mm; Bottom N/A </v>
      </c>
    </row>
    <row r="654" spans="1:12" x14ac:dyDescent="0.25">
      <c r="A654" s="11">
        <f>'DA - 51'!C118</f>
        <v>425</v>
      </c>
      <c r="B654" s="11">
        <f>'DA - 51'!D118</f>
        <v>395</v>
      </c>
      <c r="C654" s="11">
        <f>'DA - 51'!E118</f>
        <v>475</v>
      </c>
      <c r="D654" s="11">
        <f>'DA - 51'!G118</f>
        <v>630</v>
      </c>
      <c r="E654" s="11" t="str">
        <f>'DA - 51'!B118</f>
        <v>Frame: 51 ----- Stem: 70x60  ----- Aluminium Aerobar + 5</v>
      </c>
      <c r="F654" s="11">
        <f t="shared" si="70"/>
        <v>1</v>
      </c>
      <c r="G654" s="11" t="str">
        <f t="shared" si="71"/>
        <v/>
      </c>
      <c r="H654" s="11" t="str">
        <f t="shared" si="72"/>
        <v/>
      </c>
      <c r="I654" s="11">
        <f t="shared" si="73"/>
        <v>45</v>
      </c>
      <c r="J654" s="11">
        <v>1</v>
      </c>
      <c r="K654" s="11">
        <f t="shared" si="74"/>
        <v>1</v>
      </c>
      <c r="L654" s="11" t="str">
        <f>'DA - 51'!H118</f>
        <v xml:space="preserve">Aerobar Bolts: Top 25mm; Bottom N/A </v>
      </c>
    </row>
    <row r="655" spans="1:12" x14ac:dyDescent="0.25">
      <c r="A655" s="11">
        <f>'DA - 51'!C119</f>
        <v>425</v>
      </c>
      <c r="B655" s="11">
        <f>'DA - 51'!D119</f>
        <v>395</v>
      </c>
      <c r="C655" s="11">
        <f>'DA - 51'!E119</f>
        <v>475</v>
      </c>
      <c r="D655" s="11">
        <f>'DA - 51'!G119</f>
        <v>635</v>
      </c>
      <c r="E655" s="11" t="str">
        <f>'DA - 51'!B119</f>
        <v>Frame: 51 ----- Stem: 70x60  ----- Aluminium Aerobar + 10</v>
      </c>
      <c r="F655" s="11">
        <f t="shared" si="70"/>
        <v>1</v>
      </c>
      <c r="G655" s="11" t="str">
        <f t="shared" si="71"/>
        <v/>
      </c>
      <c r="H655" s="11" t="str">
        <f t="shared" si="72"/>
        <v/>
      </c>
      <c r="I655" s="11">
        <f t="shared" si="73"/>
        <v>45</v>
      </c>
      <c r="J655" s="11">
        <v>1</v>
      </c>
      <c r="K655" s="11">
        <f t="shared" si="74"/>
        <v>1</v>
      </c>
      <c r="L655" s="11" t="str">
        <f>'DA - 51'!H119</f>
        <v xml:space="preserve">Aerobar Bolts: Top 30mm; Bottom N/A </v>
      </c>
    </row>
    <row r="656" spans="1:12" x14ac:dyDescent="0.25">
      <c r="A656" s="11">
        <f>'DA - 51'!C120</f>
        <v>425</v>
      </c>
      <c r="B656" s="11">
        <f>'DA - 51'!D120</f>
        <v>395</v>
      </c>
      <c r="C656" s="11">
        <f>'DA - 51'!E120</f>
        <v>475</v>
      </c>
      <c r="D656" s="11">
        <f>'DA - 51'!G120</f>
        <v>640</v>
      </c>
      <c r="E656" s="11" t="str">
        <f>'DA - 51'!B120</f>
        <v>Frame: 51 ----- Stem: 70x60  ----- Aluminium Aerobar + 5 + 10</v>
      </c>
      <c r="F656" s="11">
        <f t="shared" si="70"/>
        <v>1</v>
      </c>
      <c r="G656" s="11" t="str">
        <f t="shared" si="71"/>
        <v/>
      </c>
      <c r="H656" s="11" t="str">
        <f t="shared" si="72"/>
        <v/>
      </c>
      <c r="I656" s="11">
        <f t="shared" si="73"/>
        <v>45</v>
      </c>
      <c r="J656" s="11">
        <v>1</v>
      </c>
      <c r="K656" s="11">
        <f t="shared" si="74"/>
        <v>1</v>
      </c>
      <c r="L656" s="11" t="str">
        <f>'DA - 51'!H120</f>
        <v xml:space="preserve">Aerobar Bolts: Top 35mm; Bottom N/A </v>
      </c>
    </row>
    <row r="657" spans="1:12" x14ac:dyDescent="0.25">
      <c r="A657" s="11">
        <f>'DA - 51'!C121</f>
        <v>425</v>
      </c>
      <c r="B657" s="11">
        <f>'DA - 51'!D121</f>
        <v>395</v>
      </c>
      <c r="C657" s="11">
        <f>'DA - 51'!E121</f>
        <v>475</v>
      </c>
      <c r="D657" s="11">
        <f>'DA - 51'!G121</f>
        <v>645</v>
      </c>
      <c r="E657" s="11" t="str">
        <f>'DA - 51'!B121</f>
        <v>Frame: 51 ----- Stem: 70x60  ----- Aluminium Aerobar + 20</v>
      </c>
      <c r="F657" s="11">
        <f t="shared" si="70"/>
        <v>1</v>
      </c>
      <c r="G657" s="11" t="str">
        <f t="shared" si="71"/>
        <v/>
      </c>
      <c r="H657" s="11" t="str">
        <f t="shared" si="72"/>
        <v/>
      </c>
      <c r="I657" s="11">
        <f t="shared" si="73"/>
        <v>45</v>
      </c>
      <c r="J657" s="11">
        <v>1</v>
      </c>
      <c r="K657" s="11">
        <f t="shared" si="74"/>
        <v>1</v>
      </c>
      <c r="L657" s="11" t="str">
        <f>'DA - 51'!H121</f>
        <v xml:space="preserve">Aerobar Bolts: Top 20mm; Bottom 15mm </v>
      </c>
    </row>
    <row r="658" spans="1:12" x14ac:dyDescent="0.25">
      <c r="A658" s="11">
        <f>'DA - 51'!C122</f>
        <v>425</v>
      </c>
      <c r="B658" s="11">
        <f>'DA - 51'!D122</f>
        <v>395</v>
      </c>
      <c r="C658" s="11">
        <f>'DA - 51'!E122</f>
        <v>475</v>
      </c>
      <c r="D658" s="11">
        <f>'DA - 51'!G122</f>
        <v>650</v>
      </c>
      <c r="E658" s="11" t="str">
        <f>'DA - 51'!B122</f>
        <v>Frame: 51 ----- Stem: 70x60  ----- Aluminium Aerobar + 20 + 5</v>
      </c>
      <c r="F658" s="11">
        <f t="shared" si="70"/>
        <v>1</v>
      </c>
      <c r="G658" s="11" t="str">
        <f t="shared" si="71"/>
        <v/>
      </c>
      <c r="H658" s="11" t="str">
        <f t="shared" si="72"/>
        <v/>
      </c>
      <c r="I658" s="11">
        <f t="shared" si="73"/>
        <v>45</v>
      </c>
      <c r="J658" s="11">
        <v>1</v>
      </c>
      <c r="K658" s="11">
        <f t="shared" si="74"/>
        <v>1</v>
      </c>
      <c r="L658" s="11" t="str">
        <f>'DA - 51'!H122</f>
        <v xml:space="preserve">Aerobar Bolts: Top 25mm; Bottom 15mm </v>
      </c>
    </row>
    <row r="659" spans="1:12" x14ac:dyDescent="0.25">
      <c r="A659" s="11">
        <f>'DA - 51'!C123</f>
        <v>425</v>
      </c>
      <c r="B659" s="11">
        <f>'DA - 51'!D123</f>
        <v>395</v>
      </c>
      <c r="C659" s="11">
        <f>'DA - 51'!E123</f>
        <v>475</v>
      </c>
      <c r="D659" s="11">
        <f>'DA - 51'!G123</f>
        <v>650</v>
      </c>
      <c r="E659" s="11" t="str">
        <f>'DA - 51'!B123</f>
        <v>Frame: 51 ----- Stem: 70x60  ----- Aluminium Aerobar + 20 + bridge</v>
      </c>
      <c r="F659" s="11">
        <f t="shared" si="70"/>
        <v>1</v>
      </c>
      <c r="G659" s="11" t="str">
        <f t="shared" si="71"/>
        <v/>
      </c>
      <c r="H659" s="11" t="str">
        <f t="shared" si="72"/>
        <v/>
      </c>
      <c r="I659" s="11">
        <f t="shared" si="73"/>
        <v>45</v>
      </c>
      <c r="J659" s="11">
        <v>1</v>
      </c>
      <c r="K659" s="11">
        <f t="shared" si="74"/>
        <v>1</v>
      </c>
      <c r="L659" s="11" t="str">
        <f>'DA - 51'!H123</f>
        <v xml:space="preserve">Aerobar Bolts: Top 25mm; Bottom 15mm </v>
      </c>
    </row>
    <row r="660" spans="1:12" x14ac:dyDescent="0.25">
      <c r="A660" s="11">
        <f>'DA - 51'!C124</f>
        <v>425</v>
      </c>
      <c r="B660" s="11">
        <f>'DA - 51'!D124</f>
        <v>395</v>
      </c>
      <c r="C660" s="11">
        <f>'DA - 51'!E124</f>
        <v>475</v>
      </c>
      <c r="D660" s="11">
        <f>'DA - 51'!G124</f>
        <v>655</v>
      </c>
      <c r="E660" s="11" t="str">
        <f>'DA - 51'!B124</f>
        <v>Frame: 51 ----- Stem: 70x60  ----- Aluminium Aerobar + 30</v>
      </c>
      <c r="F660" s="11">
        <f t="shared" si="70"/>
        <v>1</v>
      </c>
      <c r="G660" s="11">
        <f t="shared" si="71"/>
        <v>1</v>
      </c>
      <c r="H660" s="11" t="str">
        <f t="shared" si="72"/>
        <v/>
      </c>
      <c r="I660" s="11">
        <f t="shared" si="73"/>
        <v>45</v>
      </c>
      <c r="J660" s="11">
        <v>1</v>
      </c>
      <c r="K660" s="11">
        <f t="shared" si="74"/>
        <v>1</v>
      </c>
      <c r="L660" s="11" t="str">
        <f>'DA - 51'!H124</f>
        <v xml:space="preserve">Aerobar Bolts: Top 25mm; Bottom 15mm </v>
      </c>
    </row>
    <row r="661" spans="1:12" x14ac:dyDescent="0.25">
      <c r="A661" s="11">
        <f>'DA - 51'!C125</f>
        <v>425</v>
      </c>
      <c r="B661" s="11">
        <f>'DA - 51'!D125</f>
        <v>395</v>
      </c>
      <c r="C661" s="11">
        <f>'DA - 51'!E125</f>
        <v>475</v>
      </c>
      <c r="D661" s="11">
        <f>'DA - 51'!G125</f>
        <v>655</v>
      </c>
      <c r="E661" s="11" t="str">
        <f>'DA - 51'!B125</f>
        <v>Frame: 51 ----- Stem: 70x60  ----- Aluminium Aerobar + 20 + bridge + 5</v>
      </c>
      <c r="F661" s="11">
        <f t="shared" si="70"/>
        <v>1</v>
      </c>
      <c r="G661" s="11" t="str">
        <f t="shared" si="71"/>
        <v/>
      </c>
      <c r="H661" s="11" t="str">
        <f t="shared" si="72"/>
        <v/>
      </c>
      <c r="I661" s="11">
        <f t="shared" si="73"/>
        <v>45</v>
      </c>
      <c r="J661" s="11">
        <v>1</v>
      </c>
      <c r="K661" s="11">
        <f t="shared" si="74"/>
        <v>1</v>
      </c>
      <c r="L661" s="11" t="str">
        <f>'DA - 51'!H125</f>
        <v xml:space="preserve">Aerobar Bolts: Top 25mm; Bottom 15mm </v>
      </c>
    </row>
    <row r="662" spans="1:12" x14ac:dyDescent="0.25">
      <c r="A662" s="11">
        <f>'DA - 51'!C126</f>
        <v>425</v>
      </c>
      <c r="B662" s="11">
        <f>'DA - 51'!D126</f>
        <v>395</v>
      </c>
      <c r="C662" s="11">
        <f>'DA - 51'!E126</f>
        <v>475</v>
      </c>
      <c r="D662" s="11">
        <f>'DA - 51'!G126</f>
        <v>660</v>
      </c>
      <c r="E662" s="11" t="str">
        <f>'DA - 51'!B126</f>
        <v>Frame: 51 ----- Stem: 70x60  ----- Aluminium Aerobar + 30 + bridge</v>
      </c>
      <c r="F662" s="11">
        <f t="shared" si="70"/>
        <v>1</v>
      </c>
      <c r="G662" s="11">
        <f t="shared" si="71"/>
        <v>1</v>
      </c>
      <c r="H662" s="11" t="str">
        <f t="shared" si="72"/>
        <v/>
      </c>
      <c r="I662" s="11">
        <f t="shared" si="73"/>
        <v>45</v>
      </c>
      <c r="J662" s="11">
        <v>1</v>
      </c>
      <c r="K662" s="11">
        <f t="shared" si="74"/>
        <v>1</v>
      </c>
      <c r="L662" s="11" t="str">
        <f>'DA - 51'!H126</f>
        <v xml:space="preserve">Aerobar Bolts: Top 30mm; Bottom 15mm </v>
      </c>
    </row>
    <row r="663" spans="1:12" x14ac:dyDescent="0.25">
      <c r="A663" s="11">
        <f>'DA - 51'!C127</f>
        <v>425</v>
      </c>
      <c r="B663" s="11">
        <f>'DA - 51'!D127</f>
        <v>395</v>
      </c>
      <c r="C663" s="11">
        <f>'DA - 51'!E127</f>
        <v>475</v>
      </c>
      <c r="D663" s="11">
        <f>'DA - 51'!G127</f>
        <v>665</v>
      </c>
      <c r="E663" s="11" t="str">
        <f>'DA - 51'!B127</f>
        <v>Frame: 51 ----- Stem: 70x60  ----- Aluminium Aerobar + 30 + bridge + 5</v>
      </c>
      <c r="F663" s="11">
        <f t="shared" si="70"/>
        <v>1</v>
      </c>
      <c r="G663" s="11">
        <f t="shared" si="71"/>
        <v>1</v>
      </c>
      <c r="H663" s="11" t="str">
        <f t="shared" si="72"/>
        <v/>
      </c>
      <c r="I663" s="11">
        <f t="shared" si="73"/>
        <v>45</v>
      </c>
      <c r="J663" s="11">
        <v>1</v>
      </c>
      <c r="K663" s="11">
        <f t="shared" si="74"/>
        <v>1</v>
      </c>
      <c r="L663" s="11" t="str">
        <f>'DA - 51'!H127</f>
        <v xml:space="preserve">Aerobar Bolts: Top 30mm; Bottom 15mm </v>
      </c>
    </row>
    <row r="664" spans="1:12" x14ac:dyDescent="0.25">
      <c r="A664" s="11">
        <f>'DA - 51'!C128</f>
        <v>425</v>
      </c>
      <c r="B664" s="11">
        <f>'DA - 51'!D128</f>
        <v>395</v>
      </c>
      <c r="C664" s="11">
        <f>'DA - 51'!E128</f>
        <v>475</v>
      </c>
      <c r="D664" s="11">
        <f>'DA - 51'!G128</f>
        <v>670</v>
      </c>
      <c r="E664" s="11" t="str">
        <f>'DA - 51'!B128</f>
        <v>Frame: 51 ----- Stem: 70x60  ----- Aluminium Aerobar + 40 + bridge</v>
      </c>
      <c r="F664" s="11">
        <f t="shared" si="70"/>
        <v>1</v>
      </c>
      <c r="G664" s="11" t="str">
        <f t="shared" si="71"/>
        <v/>
      </c>
      <c r="H664" s="11">
        <f t="shared" si="72"/>
        <v>1</v>
      </c>
      <c r="I664" s="11">
        <f t="shared" si="73"/>
        <v>45</v>
      </c>
      <c r="J664" s="11">
        <v>1</v>
      </c>
      <c r="K664" s="11">
        <f t="shared" si="74"/>
        <v>1</v>
      </c>
      <c r="L664" s="11" t="str">
        <f>'DA - 51'!H128</f>
        <v xml:space="preserve">Aerobar Bolts: Top 35mm; Bottom 15mm </v>
      </c>
    </row>
    <row r="665" spans="1:12" x14ac:dyDescent="0.25">
      <c r="A665" s="11">
        <f>'DA - 51'!C129</f>
        <v>425</v>
      </c>
      <c r="B665" s="11">
        <f>'DA - 51'!D129</f>
        <v>395</v>
      </c>
      <c r="C665" s="11">
        <f>'DA - 51'!E129</f>
        <v>475</v>
      </c>
      <c r="D665" s="11">
        <f>'DA - 51'!G129</f>
        <v>675</v>
      </c>
      <c r="E665" s="11" t="str">
        <f>'DA - 51'!B129</f>
        <v>Frame: 51 ----- Stem: 70x60  ----- Aluminium Aerobar + 40 + bridge + 5</v>
      </c>
      <c r="F665" s="11">
        <f t="shared" si="70"/>
        <v>1</v>
      </c>
      <c r="G665" s="11" t="str">
        <f t="shared" si="71"/>
        <v/>
      </c>
      <c r="H665" s="11">
        <f t="shared" si="72"/>
        <v>1</v>
      </c>
      <c r="I665" s="11">
        <f t="shared" si="73"/>
        <v>45</v>
      </c>
      <c r="J665" s="11">
        <v>1</v>
      </c>
      <c r="K665" s="11">
        <f t="shared" si="74"/>
        <v>1</v>
      </c>
      <c r="L665" s="11" t="str">
        <f>'DA - 51'!H129</f>
        <v xml:space="preserve">Aerobar Bolts: Top 35mm; Bottom 15mm </v>
      </c>
    </row>
    <row r="666" spans="1:12" x14ac:dyDescent="0.25">
      <c r="A666" s="11">
        <f>'DA - 51'!C130</f>
        <v>425</v>
      </c>
      <c r="B666" s="11">
        <f>'DA - 51'!D130</f>
        <v>395</v>
      </c>
      <c r="C666" s="11">
        <f>'DA - 51'!E130</f>
        <v>475</v>
      </c>
      <c r="D666" s="11">
        <f>'DA - 51'!G130</f>
        <v>680</v>
      </c>
      <c r="E666" s="11" t="str">
        <f>'DA - 51'!B130</f>
        <v>Frame: 51 ----- Stem: 70x60  ----- Aluminium Aerobar + 40 + bridge + 10</v>
      </c>
      <c r="F666" s="11">
        <f t="shared" si="70"/>
        <v>1</v>
      </c>
      <c r="G666" s="11" t="str">
        <f t="shared" si="71"/>
        <v/>
      </c>
      <c r="H666" s="11">
        <f t="shared" si="72"/>
        <v>1</v>
      </c>
      <c r="I666" s="11">
        <f t="shared" si="73"/>
        <v>45</v>
      </c>
      <c r="J666" s="11">
        <v>1</v>
      </c>
      <c r="K666" s="11">
        <f t="shared" si="74"/>
        <v>1</v>
      </c>
      <c r="L666" s="11" t="str">
        <f>'DA - 51'!H130</f>
        <v xml:space="preserve">Aerobar Bolts: Top 35mm; Bottom 15mm </v>
      </c>
    </row>
    <row r="667" spans="1:12" x14ac:dyDescent="0.25">
      <c r="A667" s="11">
        <f>'DA - 51'!C131</f>
        <v>425</v>
      </c>
      <c r="B667" s="11">
        <f>'DA - 51'!D131</f>
        <v>395</v>
      </c>
      <c r="C667" s="11">
        <f>'DA - 51'!E131</f>
        <v>475</v>
      </c>
      <c r="D667" s="11">
        <f>'DA - 51'!G131</f>
        <v>685</v>
      </c>
      <c r="E667" s="11" t="str">
        <f>'DA - 51'!B131</f>
        <v>Frame: 51 ----- Stem: 70x60  ----- Aluminium Aerobar + 40 + bridge + 10 + 5</v>
      </c>
      <c r="F667" s="11">
        <f t="shared" si="70"/>
        <v>1</v>
      </c>
      <c r="G667" s="11" t="str">
        <f t="shared" si="71"/>
        <v/>
      </c>
      <c r="H667" s="11">
        <f t="shared" si="72"/>
        <v>1</v>
      </c>
      <c r="I667" s="11">
        <f t="shared" si="73"/>
        <v>45</v>
      </c>
      <c r="J667" s="11">
        <v>1</v>
      </c>
      <c r="K667" s="11">
        <f t="shared" si="74"/>
        <v>1</v>
      </c>
      <c r="L667" s="11" t="str">
        <f>'DA - 51'!H131</f>
        <v xml:space="preserve">Aerobar Bolts: Top 35mm; Bottom 25mm </v>
      </c>
    </row>
    <row r="668" spans="1:12" x14ac:dyDescent="0.25">
      <c r="A668" s="11">
        <f>'DA - 51'!C132</f>
        <v>465</v>
      </c>
      <c r="B668" s="11">
        <f>'DA - 51'!D132</f>
        <v>435</v>
      </c>
      <c r="C668" s="11">
        <f>'DA - 51'!E132</f>
        <v>515</v>
      </c>
      <c r="D668" s="11">
        <f>'DA - 51'!G132</f>
        <v>595</v>
      </c>
      <c r="E668" s="11" t="str">
        <f>'DA - 51'!B132</f>
        <v>Frame: 51 ----- Stem: 100x30  ----- Aluminium Aerobar</v>
      </c>
      <c r="F668" s="11">
        <f t="shared" si="70"/>
        <v>1</v>
      </c>
      <c r="G668" s="11" t="str">
        <f t="shared" si="71"/>
        <v/>
      </c>
      <c r="H668" s="11" t="str">
        <f t="shared" si="72"/>
        <v/>
      </c>
      <c r="I668" s="11">
        <f t="shared" si="73"/>
        <v>5</v>
      </c>
      <c r="J668" s="11">
        <v>1</v>
      </c>
      <c r="K668" s="11">
        <f t="shared" si="74"/>
        <v>1</v>
      </c>
      <c r="L668" s="11" t="str">
        <f>'DA - 51'!H132</f>
        <v xml:space="preserve">Aerobar Bolts: Top 20mm; Bottom N/A </v>
      </c>
    </row>
    <row r="669" spans="1:12" x14ac:dyDescent="0.25">
      <c r="A669" s="11">
        <f>'DA - 51'!C133</f>
        <v>465</v>
      </c>
      <c r="B669" s="11">
        <f>'DA - 51'!D133</f>
        <v>435</v>
      </c>
      <c r="C669" s="11">
        <f>'DA - 51'!E133</f>
        <v>515</v>
      </c>
      <c r="D669" s="11">
        <f>'DA - 51'!G133</f>
        <v>600</v>
      </c>
      <c r="E669" s="11" t="str">
        <f>'DA - 51'!B133</f>
        <v>Frame: 51 ----- Stem: 100x30  ----- Aluminium Aerobar + 5</v>
      </c>
      <c r="F669" s="11">
        <f t="shared" si="70"/>
        <v>1</v>
      </c>
      <c r="G669" s="11" t="str">
        <f t="shared" si="71"/>
        <v/>
      </c>
      <c r="H669" s="11" t="str">
        <f t="shared" si="72"/>
        <v/>
      </c>
      <c r="I669" s="11">
        <f t="shared" si="73"/>
        <v>5</v>
      </c>
      <c r="J669" s="11">
        <v>1</v>
      </c>
      <c r="K669" s="11">
        <f t="shared" si="74"/>
        <v>1</v>
      </c>
      <c r="L669" s="11" t="str">
        <f>'DA - 51'!H133</f>
        <v xml:space="preserve">Aerobar Bolts: Top 25mm; Bottom N/A </v>
      </c>
    </row>
    <row r="670" spans="1:12" x14ac:dyDescent="0.25">
      <c r="A670" s="11">
        <f>'DA - 51'!C134</f>
        <v>465</v>
      </c>
      <c r="B670" s="11">
        <f>'DA - 51'!D134</f>
        <v>435</v>
      </c>
      <c r="C670" s="11">
        <f>'DA - 51'!E134</f>
        <v>515</v>
      </c>
      <c r="D670" s="11">
        <f>'DA - 51'!G134</f>
        <v>605</v>
      </c>
      <c r="E670" s="11" t="str">
        <f>'DA - 51'!B134</f>
        <v>Frame: 51 ----- Stem: 100x30  ----- Aluminium Aerobar + 10</v>
      </c>
      <c r="F670" s="11">
        <f t="shared" si="70"/>
        <v>1</v>
      </c>
      <c r="G670" s="11" t="str">
        <f t="shared" si="71"/>
        <v/>
      </c>
      <c r="H670" s="11" t="str">
        <f t="shared" si="72"/>
        <v/>
      </c>
      <c r="I670" s="11">
        <f t="shared" si="73"/>
        <v>5</v>
      </c>
      <c r="J670" s="11">
        <v>1</v>
      </c>
      <c r="K670" s="11">
        <f t="shared" si="74"/>
        <v>1</v>
      </c>
      <c r="L670" s="11" t="str">
        <f>'DA - 51'!H134</f>
        <v xml:space="preserve">Aerobar Bolts: Top 30mm; Bottom N/A </v>
      </c>
    </row>
    <row r="671" spans="1:12" x14ac:dyDescent="0.25">
      <c r="A671" s="11">
        <f>'DA - 51'!C135</f>
        <v>465</v>
      </c>
      <c r="B671" s="11">
        <f>'DA - 51'!D135</f>
        <v>435</v>
      </c>
      <c r="C671" s="11">
        <f>'DA - 51'!E135</f>
        <v>515</v>
      </c>
      <c r="D671" s="11">
        <f>'DA - 51'!G135</f>
        <v>610</v>
      </c>
      <c r="E671" s="11" t="str">
        <f>'DA - 51'!B135</f>
        <v>Frame: 51 ----- Stem: 100x30  ----- Aluminium Aerobar + 5 + 10</v>
      </c>
      <c r="F671" s="11">
        <f t="shared" si="70"/>
        <v>1</v>
      </c>
      <c r="G671" s="11" t="str">
        <f t="shared" si="71"/>
        <v/>
      </c>
      <c r="H671" s="11" t="str">
        <f t="shared" si="72"/>
        <v/>
      </c>
      <c r="I671" s="11">
        <f t="shared" si="73"/>
        <v>5</v>
      </c>
      <c r="J671" s="11">
        <v>1</v>
      </c>
      <c r="K671" s="11">
        <f t="shared" si="74"/>
        <v>1</v>
      </c>
      <c r="L671" s="11" t="str">
        <f>'DA - 51'!H135</f>
        <v xml:space="preserve">Aerobar Bolts: Top 35mm; Bottom N/A </v>
      </c>
    </row>
    <row r="672" spans="1:12" x14ac:dyDescent="0.25">
      <c r="A672" s="11">
        <f>'DA - 51'!C136</f>
        <v>465</v>
      </c>
      <c r="B672" s="11">
        <f>'DA - 51'!D136</f>
        <v>435</v>
      </c>
      <c r="C672" s="11">
        <f>'DA - 51'!E136</f>
        <v>515</v>
      </c>
      <c r="D672" s="11">
        <f>'DA - 51'!G136</f>
        <v>615</v>
      </c>
      <c r="E672" s="11" t="str">
        <f>'DA - 51'!B136</f>
        <v>Frame: 51 ----- Stem: 100x30  ----- Aluminium Aerobar + 20</v>
      </c>
      <c r="F672" s="11">
        <f t="shared" si="70"/>
        <v>1</v>
      </c>
      <c r="G672" s="11" t="str">
        <f t="shared" si="71"/>
        <v/>
      </c>
      <c r="H672" s="11" t="str">
        <f t="shared" si="72"/>
        <v/>
      </c>
      <c r="I672" s="11">
        <f t="shared" si="73"/>
        <v>5</v>
      </c>
      <c r="J672" s="11">
        <v>1</v>
      </c>
      <c r="K672" s="11">
        <f t="shared" si="74"/>
        <v>1</v>
      </c>
      <c r="L672" s="11" t="str">
        <f>'DA - 51'!H136</f>
        <v xml:space="preserve">Aerobar Bolts: Top 20mm; Bottom 15mm </v>
      </c>
    </row>
    <row r="673" spans="1:12" x14ac:dyDescent="0.25">
      <c r="A673" s="11">
        <f>'DA - 51'!C137</f>
        <v>465</v>
      </c>
      <c r="B673" s="11">
        <f>'DA - 51'!D137</f>
        <v>435</v>
      </c>
      <c r="C673" s="11">
        <f>'DA - 51'!E137</f>
        <v>515</v>
      </c>
      <c r="D673" s="11">
        <f>'DA - 51'!G137</f>
        <v>620</v>
      </c>
      <c r="E673" s="11" t="str">
        <f>'DA - 51'!B137</f>
        <v>Frame: 51 ----- Stem: 100x30  ----- Aluminium Aerobar + 20 + 5</v>
      </c>
      <c r="F673" s="11">
        <f t="shared" si="70"/>
        <v>1</v>
      </c>
      <c r="G673" s="11" t="str">
        <f t="shared" si="71"/>
        <v/>
      </c>
      <c r="H673" s="11" t="str">
        <f t="shared" si="72"/>
        <v/>
      </c>
      <c r="I673" s="11">
        <f t="shared" si="73"/>
        <v>5</v>
      </c>
      <c r="J673" s="11">
        <v>1</v>
      </c>
      <c r="K673" s="11">
        <f t="shared" si="74"/>
        <v>1</v>
      </c>
      <c r="L673" s="11" t="str">
        <f>'DA - 51'!H137</f>
        <v xml:space="preserve">Aerobar Bolts: Top 25mm; Bottom 15mm </v>
      </c>
    </row>
    <row r="674" spans="1:12" x14ac:dyDescent="0.25">
      <c r="A674" s="11">
        <f>'DA - 51'!C138</f>
        <v>465</v>
      </c>
      <c r="B674" s="11">
        <f>'DA - 51'!D138</f>
        <v>435</v>
      </c>
      <c r="C674" s="11">
        <f>'DA - 51'!E138</f>
        <v>515</v>
      </c>
      <c r="D674" s="11">
        <f>'DA - 51'!G138</f>
        <v>620</v>
      </c>
      <c r="E674" s="11" t="str">
        <f>'DA - 51'!B138</f>
        <v>Frame: 51 ----- Stem: 100x30  ----- Aluminium Aerobar + 20 + bridge</v>
      </c>
      <c r="F674" s="11">
        <f t="shared" si="70"/>
        <v>1</v>
      </c>
      <c r="G674" s="11" t="str">
        <f t="shared" si="71"/>
        <v/>
      </c>
      <c r="H674" s="11" t="str">
        <f t="shared" si="72"/>
        <v/>
      </c>
      <c r="I674" s="11">
        <f t="shared" si="73"/>
        <v>5</v>
      </c>
      <c r="J674" s="11">
        <v>1</v>
      </c>
      <c r="K674" s="11">
        <f t="shared" si="74"/>
        <v>1</v>
      </c>
      <c r="L674" s="11" t="str">
        <f>'DA - 51'!H138</f>
        <v xml:space="preserve">Aerobar Bolts: Top 25mm; Bottom 15mm </v>
      </c>
    </row>
    <row r="675" spans="1:12" x14ac:dyDescent="0.25">
      <c r="A675" s="11">
        <f>'DA - 51'!C139</f>
        <v>465</v>
      </c>
      <c r="B675" s="11">
        <f>'DA - 51'!D139</f>
        <v>435</v>
      </c>
      <c r="C675" s="11">
        <f>'DA - 51'!E139</f>
        <v>515</v>
      </c>
      <c r="D675" s="11">
        <f>'DA - 51'!G139</f>
        <v>625</v>
      </c>
      <c r="E675" s="11" t="str">
        <f>'DA - 51'!B139</f>
        <v>Frame: 51 ----- Stem: 100x30  ----- Aluminium Aerobar + 30</v>
      </c>
      <c r="F675" s="11">
        <f t="shared" si="70"/>
        <v>1</v>
      </c>
      <c r="G675" s="11">
        <f t="shared" si="71"/>
        <v>1</v>
      </c>
      <c r="H675" s="11" t="str">
        <f t="shared" si="72"/>
        <v/>
      </c>
      <c r="I675" s="11">
        <f t="shared" si="73"/>
        <v>5</v>
      </c>
      <c r="J675" s="11">
        <v>1</v>
      </c>
      <c r="K675" s="11">
        <f t="shared" si="74"/>
        <v>1</v>
      </c>
      <c r="L675" s="11" t="str">
        <f>'DA - 51'!H139</f>
        <v xml:space="preserve">Aerobar Bolts: Top 25mm; Bottom 15mm </v>
      </c>
    </row>
    <row r="676" spans="1:12" x14ac:dyDescent="0.25">
      <c r="A676" s="11">
        <f>'DA - 51'!C140</f>
        <v>465</v>
      </c>
      <c r="B676" s="11">
        <f>'DA - 51'!D140</f>
        <v>435</v>
      </c>
      <c r="C676" s="11">
        <f>'DA - 51'!E140</f>
        <v>515</v>
      </c>
      <c r="D676" s="11">
        <f>'DA - 51'!G140</f>
        <v>625</v>
      </c>
      <c r="E676" s="11" t="str">
        <f>'DA - 51'!B140</f>
        <v>Frame: 51 ----- Stem: 100x30  ----- Aluminium Aerobar + 20 + bridge + 5</v>
      </c>
      <c r="F676" s="11">
        <f t="shared" si="70"/>
        <v>1</v>
      </c>
      <c r="G676" s="11" t="str">
        <f t="shared" si="71"/>
        <v/>
      </c>
      <c r="H676" s="11" t="str">
        <f t="shared" si="72"/>
        <v/>
      </c>
      <c r="I676" s="11">
        <f t="shared" si="73"/>
        <v>5</v>
      </c>
      <c r="J676" s="11">
        <v>1</v>
      </c>
      <c r="K676" s="11">
        <f t="shared" si="74"/>
        <v>1</v>
      </c>
      <c r="L676" s="11" t="str">
        <f>'DA - 51'!H140</f>
        <v xml:space="preserve">Aerobar Bolts: Top 25mm; Bottom 15mm </v>
      </c>
    </row>
    <row r="677" spans="1:12" x14ac:dyDescent="0.25">
      <c r="A677" s="11">
        <f>'DA - 51'!C141</f>
        <v>465</v>
      </c>
      <c r="B677" s="11">
        <f>'DA - 51'!D141</f>
        <v>435</v>
      </c>
      <c r="C677" s="11">
        <f>'DA - 51'!E141</f>
        <v>515</v>
      </c>
      <c r="D677" s="11">
        <f>'DA - 51'!G141</f>
        <v>630</v>
      </c>
      <c r="E677" s="11" t="str">
        <f>'DA - 51'!B141</f>
        <v>Frame: 51 ----- Stem: 100x30  ----- Aluminium Aerobar + 30 + bridge</v>
      </c>
      <c r="F677" s="11">
        <f t="shared" si="70"/>
        <v>1</v>
      </c>
      <c r="G677" s="11">
        <f t="shared" si="71"/>
        <v>1</v>
      </c>
      <c r="H677" s="11" t="str">
        <f t="shared" si="72"/>
        <v/>
      </c>
      <c r="I677" s="11">
        <f t="shared" si="73"/>
        <v>5</v>
      </c>
      <c r="J677" s="11">
        <v>1</v>
      </c>
      <c r="K677" s="11">
        <f t="shared" si="74"/>
        <v>1</v>
      </c>
      <c r="L677" s="11" t="str">
        <f>'DA - 51'!H141</f>
        <v xml:space="preserve">Aerobar Bolts: Top 30mm; Bottom 15mm </v>
      </c>
    </row>
    <row r="678" spans="1:12" x14ac:dyDescent="0.25">
      <c r="A678" s="11">
        <f>'DA - 51'!C142</f>
        <v>465</v>
      </c>
      <c r="B678" s="11">
        <f>'DA - 51'!D142</f>
        <v>435</v>
      </c>
      <c r="C678" s="11">
        <f>'DA - 51'!E142</f>
        <v>515</v>
      </c>
      <c r="D678" s="11">
        <f>'DA - 51'!G142</f>
        <v>635</v>
      </c>
      <c r="E678" s="11" t="str">
        <f>'DA - 51'!B142</f>
        <v>Frame: 51 ----- Stem: 100x30  ----- Aluminium Aerobar + 30 + bridge + 5</v>
      </c>
      <c r="F678" s="11">
        <f t="shared" si="70"/>
        <v>1</v>
      </c>
      <c r="G678" s="11">
        <f t="shared" si="71"/>
        <v>1</v>
      </c>
      <c r="H678" s="11" t="str">
        <f t="shared" si="72"/>
        <v/>
      </c>
      <c r="I678" s="11">
        <f t="shared" si="73"/>
        <v>5</v>
      </c>
      <c r="J678" s="11">
        <v>1</v>
      </c>
      <c r="K678" s="11">
        <f t="shared" si="74"/>
        <v>1</v>
      </c>
      <c r="L678" s="11" t="str">
        <f>'DA - 51'!H142</f>
        <v xml:space="preserve">Aerobar Bolts: Top 30mm; Bottom 15mm </v>
      </c>
    </row>
    <row r="679" spans="1:12" x14ac:dyDescent="0.25">
      <c r="A679" s="11">
        <f>'DA - 51'!C143</f>
        <v>465</v>
      </c>
      <c r="B679" s="11">
        <f>'DA - 51'!D143</f>
        <v>435</v>
      </c>
      <c r="C679" s="11">
        <f>'DA - 51'!E143</f>
        <v>515</v>
      </c>
      <c r="D679" s="11">
        <f>'DA - 51'!G143</f>
        <v>640</v>
      </c>
      <c r="E679" s="11" t="str">
        <f>'DA - 51'!B143</f>
        <v>Frame: 51 ----- Stem: 100x30  ----- Aluminium Aerobar + 40 + bridge</v>
      </c>
      <c r="F679" s="11">
        <f t="shared" si="70"/>
        <v>1</v>
      </c>
      <c r="G679" s="11" t="str">
        <f t="shared" si="71"/>
        <v/>
      </c>
      <c r="H679" s="11">
        <f t="shared" si="72"/>
        <v>1</v>
      </c>
      <c r="I679" s="11">
        <f t="shared" si="73"/>
        <v>5</v>
      </c>
      <c r="J679" s="11">
        <v>1</v>
      </c>
      <c r="K679" s="11">
        <f t="shared" si="74"/>
        <v>1</v>
      </c>
      <c r="L679" s="11" t="str">
        <f>'DA - 51'!H143</f>
        <v xml:space="preserve">Aerobar Bolts: Top 35mm; Bottom 15mm </v>
      </c>
    </row>
    <row r="680" spans="1:12" x14ac:dyDescent="0.25">
      <c r="A680" s="11">
        <f>'DA - 51'!C144</f>
        <v>465</v>
      </c>
      <c r="B680" s="11">
        <f>'DA - 51'!D144</f>
        <v>435</v>
      </c>
      <c r="C680" s="11">
        <f>'DA - 51'!E144</f>
        <v>515</v>
      </c>
      <c r="D680" s="11">
        <f>'DA - 51'!G144</f>
        <v>645</v>
      </c>
      <c r="E680" s="11" t="str">
        <f>'DA - 51'!B144</f>
        <v>Frame: 51 ----- Stem: 100x30  ----- Aluminium Aerobar + 40 + bridge + 5</v>
      </c>
      <c r="F680" s="11">
        <f t="shared" si="70"/>
        <v>1</v>
      </c>
      <c r="G680" s="11" t="str">
        <f t="shared" si="71"/>
        <v/>
      </c>
      <c r="H680" s="11">
        <f t="shared" si="72"/>
        <v>1</v>
      </c>
      <c r="I680" s="11">
        <f t="shared" si="73"/>
        <v>5</v>
      </c>
      <c r="J680" s="11">
        <v>1</v>
      </c>
      <c r="K680" s="11">
        <f t="shared" si="74"/>
        <v>1</v>
      </c>
      <c r="L680" s="11" t="str">
        <f>'DA - 51'!H144</f>
        <v xml:space="preserve">Aerobar Bolts: Top 35mm; Bottom 15mm </v>
      </c>
    </row>
    <row r="681" spans="1:12" x14ac:dyDescent="0.25">
      <c r="A681" s="11">
        <f>'DA - 51'!C145</f>
        <v>465</v>
      </c>
      <c r="B681" s="11">
        <f>'DA - 51'!D145</f>
        <v>435</v>
      </c>
      <c r="C681" s="11">
        <f>'DA - 51'!E145</f>
        <v>515</v>
      </c>
      <c r="D681" s="11">
        <f>'DA - 51'!G145</f>
        <v>650</v>
      </c>
      <c r="E681" s="11" t="str">
        <f>'DA - 51'!B145</f>
        <v>Frame: 51 ----- Stem: 100x30  ----- Aluminium Aerobar + 40 + bridge + 10</v>
      </c>
      <c r="F681" s="11">
        <f t="shared" si="70"/>
        <v>1</v>
      </c>
      <c r="G681" s="11" t="str">
        <f t="shared" si="71"/>
        <v/>
      </c>
      <c r="H681" s="11">
        <f t="shared" si="72"/>
        <v>1</v>
      </c>
      <c r="I681" s="11">
        <f t="shared" si="73"/>
        <v>5</v>
      </c>
      <c r="J681" s="11">
        <v>1</v>
      </c>
      <c r="K681" s="11">
        <f t="shared" si="74"/>
        <v>1</v>
      </c>
      <c r="L681" s="11" t="str">
        <f>'DA - 51'!H145</f>
        <v xml:space="preserve">Aerobar Bolts: Top 35mm; Bottom 15mm </v>
      </c>
    </row>
    <row r="682" spans="1:12" x14ac:dyDescent="0.25">
      <c r="A682" s="11">
        <f>'DA - 51'!C146</f>
        <v>465</v>
      </c>
      <c r="B682" s="11">
        <f>'DA - 51'!D146</f>
        <v>435</v>
      </c>
      <c r="C682" s="11">
        <f>'DA - 51'!E146</f>
        <v>515</v>
      </c>
      <c r="D682" s="11">
        <f>'DA - 51'!G146</f>
        <v>655</v>
      </c>
      <c r="E682" s="11" t="str">
        <f>'DA - 51'!B146</f>
        <v>Frame: 51 ----- Stem: 100x30  ----- Aluminium Aerobar + 40 + bridge + 10 + 5</v>
      </c>
      <c r="F682" s="11">
        <f t="shared" si="70"/>
        <v>1</v>
      </c>
      <c r="G682" s="11" t="str">
        <f t="shared" si="71"/>
        <v/>
      </c>
      <c r="H682" s="11">
        <f t="shared" si="72"/>
        <v>1</v>
      </c>
      <c r="I682" s="11">
        <f t="shared" si="73"/>
        <v>5</v>
      </c>
      <c r="J682" s="11">
        <v>1</v>
      </c>
      <c r="K682" s="11">
        <f t="shared" si="74"/>
        <v>1</v>
      </c>
      <c r="L682" s="11" t="str">
        <f>'DA - 51'!H146</f>
        <v xml:space="preserve">Aerobar Bolts: Top 35mm; Bottom 25mm </v>
      </c>
    </row>
    <row r="683" spans="1:12" x14ac:dyDescent="0.25">
      <c r="A683" s="11">
        <f>'DA - 51'!C147</f>
        <v>455</v>
      </c>
      <c r="B683" s="11">
        <f>'DA - 51'!D147</f>
        <v>425</v>
      </c>
      <c r="C683" s="11">
        <f>'DA - 51'!E147</f>
        <v>505</v>
      </c>
      <c r="D683" s="11">
        <f>'DA - 51'!G147</f>
        <v>625</v>
      </c>
      <c r="E683" s="11" t="str">
        <f>'DA - 51'!B147</f>
        <v>Frame: 51 ----- Stem: 100x60  ----- Aluminium Aerobar</v>
      </c>
      <c r="F683" s="11">
        <f t="shared" si="70"/>
        <v>1</v>
      </c>
      <c r="G683" s="11" t="str">
        <f t="shared" si="71"/>
        <v/>
      </c>
      <c r="H683" s="11" t="str">
        <f t="shared" si="72"/>
        <v/>
      </c>
      <c r="I683" s="11">
        <f t="shared" si="73"/>
        <v>15</v>
      </c>
      <c r="J683" s="11">
        <v>1</v>
      </c>
      <c r="K683" s="11">
        <f t="shared" si="74"/>
        <v>1</v>
      </c>
      <c r="L683" s="11" t="str">
        <f>'DA - 51'!H147</f>
        <v xml:space="preserve">Aerobar Bolts: Top 20mm; Bottom N/A </v>
      </c>
    </row>
    <row r="684" spans="1:12" x14ac:dyDescent="0.25">
      <c r="A684" s="11">
        <f>'DA - 51'!C148</f>
        <v>455</v>
      </c>
      <c r="B684" s="11">
        <f>'DA - 51'!D148</f>
        <v>425</v>
      </c>
      <c r="C684" s="11">
        <f>'DA - 51'!E148</f>
        <v>505</v>
      </c>
      <c r="D684" s="11">
        <f>'DA - 51'!G148</f>
        <v>630</v>
      </c>
      <c r="E684" s="11" t="str">
        <f>'DA - 51'!B148</f>
        <v>Frame: 51 ----- Stem: 100x60  ----- Aluminium Aerobar + 5</v>
      </c>
      <c r="F684" s="11">
        <f t="shared" si="70"/>
        <v>1</v>
      </c>
      <c r="G684" s="11" t="str">
        <f t="shared" si="71"/>
        <v/>
      </c>
      <c r="H684" s="11" t="str">
        <f t="shared" si="72"/>
        <v/>
      </c>
      <c r="I684" s="11">
        <f t="shared" si="73"/>
        <v>15</v>
      </c>
      <c r="J684" s="11">
        <v>1</v>
      </c>
      <c r="K684" s="11">
        <f t="shared" si="74"/>
        <v>1</v>
      </c>
      <c r="L684" s="11" t="str">
        <f>'DA - 51'!H148</f>
        <v xml:space="preserve">Aerobar Bolts: Top 25mm; Bottom N/A </v>
      </c>
    </row>
    <row r="685" spans="1:12" x14ac:dyDescent="0.25">
      <c r="A685" s="11">
        <f>'DA - 51'!C149</f>
        <v>455</v>
      </c>
      <c r="B685" s="11">
        <f>'DA - 51'!D149</f>
        <v>425</v>
      </c>
      <c r="C685" s="11">
        <f>'DA - 51'!E149</f>
        <v>505</v>
      </c>
      <c r="D685" s="11">
        <f>'DA - 51'!G149</f>
        <v>635</v>
      </c>
      <c r="E685" s="11" t="str">
        <f>'DA - 51'!B149</f>
        <v>Frame: 51 ----- Stem: 100x60  ----- Aluminium Aerobar + 10</v>
      </c>
      <c r="F685" s="11">
        <f t="shared" si="70"/>
        <v>1</v>
      </c>
      <c r="G685" s="11" t="str">
        <f t="shared" si="71"/>
        <v/>
      </c>
      <c r="H685" s="11" t="str">
        <f t="shared" si="72"/>
        <v/>
      </c>
      <c r="I685" s="11">
        <f t="shared" si="73"/>
        <v>15</v>
      </c>
      <c r="J685" s="11">
        <v>1</v>
      </c>
      <c r="K685" s="11">
        <f t="shared" si="74"/>
        <v>1</v>
      </c>
      <c r="L685" s="11" t="str">
        <f>'DA - 51'!H149</f>
        <v xml:space="preserve">Aerobar Bolts: Top 30mm; Bottom N/A </v>
      </c>
    </row>
    <row r="686" spans="1:12" x14ac:dyDescent="0.25">
      <c r="A686" s="11">
        <f>'DA - 51'!C150</f>
        <v>455</v>
      </c>
      <c r="B686" s="11">
        <f>'DA - 51'!D150</f>
        <v>425</v>
      </c>
      <c r="C686" s="11">
        <f>'DA - 51'!E150</f>
        <v>505</v>
      </c>
      <c r="D686" s="11">
        <f>'DA - 51'!G150</f>
        <v>640</v>
      </c>
      <c r="E686" s="11" t="str">
        <f>'DA - 51'!B150</f>
        <v>Frame: 51 ----- Stem: 100x60  ----- Aluminium Aerobar + 5 + 10</v>
      </c>
      <c r="F686" s="11">
        <f t="shared" si="70"/>
        <v>1</v>
      </c>
      <c r="G686" s="11" t="str">
        <f t="shared" si="71"/>
        <v/>
      </c>
      <c r="H686" s="11" t="str">
        <f t="shared" si="72"/>
        <v/>
      </c>
      <c r="I686" s="11">
        <f t="shared" si="73"/>
        <v>15</v>
      </c>
      <c r="J686" s="11">
        <v>1</v>
      </c>
      <c r="K686" s="11">
        <f t="shared" si="74"/>
        <v>1</v>
      </c>
      <c r="L686" s="11" t="str">
        <f>'DA - 51'!H150</f>
        <v xml:space="preserve">Aerobar Bolts: Top 35mm; Bottom N/A </v>
      </c>
    </row>
    <row r="687" spans="1:12" x14ac:dyDescent="0.25">
      <c r="A687" s="11">
        <f>'DA - 51'!C151</f>
        <v>455</v>
      </c>
      <c r="B687" s="11">
        <f>'DA - 51'!D151</f>
        <v>425</v>
      </c>
      <c r="C687" s="11">
        <f>'DA - 51'!E151</f>
        <v>505</v>
      </c>
      <c r="D687" s="11">
        <f>'DA - 51'!G151</f>
        <v>645</v>
      </c>
      <c r="E687" s="11" t="str">
        <f>'DA - 51'!B151</f>
        <v>Frame: 51 ----- Stem: 100x60  ----- Aluminium Aerobar + 20</v>
      </c>
      <c r="F687" s="11">
        <f t="shared" si="70"/>
        <v>1</v>
      </c>
      <c r="G687" s="11" t="str">
        <f t="shared" si="71"/>
        <v/>
      </c>
      <c r="H687" s="11" t="str">
        <f t="shared" si="72"/>
        <v/>
      </c>
      <c r="I687" s="11">
        <f t="shared" si="73"/>
        <v>15</v>
      </c>
      <c r="J687" s="11">
        <v>1</v>
      </c>
      <c r="K687" s="11">
        <f t="shared" si="74"/>
        <v>1</v>
      </c>
      <c r="L687" s="11" t="str">
        <f>'DA - 51'!H151</f>
        <v xml:space="preserve">Aerobar Bolts: Top 20mm; Bottom 15mm </v>
      </c>
    </row>
    <row r="688" spans="1:12" x14ac:dyDescent="0.25">
      <c r="A688" s="11">
        <f>'DA - 51'!C152</f>
        <v>455</v>
      </c>
      <c r="B688" s="11">
        <f>'DA - 51'!D152</f>
        <v>425</v>
      </c>
      <c r="C688" s="11">
        <f>'DA - 51'!E152</f>
        <v>505</v>
      </c>
      <c r="D688" s="11">
        <f>'DA - 51'!G152</f>
        <v>650</v>
      </c>
      <c r="E688" s="11" t="str">
        <f>'DA - 51'!B152</f>
        <v>Frame: 51 ----- Stem: 100x60  ----- Aluminium Aerobar + 20 + 5</v>
      </c>
      <c r="F688" s="11">
        <f t="shared" si="70"/>
        <v>1</v>
      </c>
      <c r="G688" s="11" t="str">
        <f t="shared" si="71"/>
        <v/>
      </c>
      <c r="H688" s="11" t="str">
        <f t="shared" si="72"/>
        <v/>
      </c>
      <c r="I688" s="11">
        <f t="shared" si="73"/>
        <v>15</v>
      </c>
      <c r="J688" s="11">
        <v>1</v>
      </c>
      <c r="K688" s="11">
        <f t="shared" si="74"/>
        <v>1</v>
      </c>
      <c r="L688" s="11" t="str">
        <f>'DA - 51'!H152</f>
        <v xml:space="preserve">Aerobar Bolts: Top 25mm; Bottom 15mm </v>
      </c>
    </row>
    <row r="689" spans="1:12" x14ac:dyDescent="0.25">
      <c r="A689" s="11">
        <f>'DA - 51'!C153</f>
        <v>455</v>
      </c>
      <c r="B689" s="11">
        <f>'DA - 51'!D153</f>
        <v>425</v>
      </c>
      <c r="C689" s="11">
        <f>'DA - 51'!E153</f>
        <v>505</v>
      </c>
      <c r="D689" s="11">
        <f>'DA - 51'!G153</f>
        <v>650</v>
      </c>
      <c r="E689" s="11" t="str">
        <f>'DA - 51'!B153</f>
        <v>Frame: 51 ----- Stem: 100x60  ----- Aluminium Aerobar + 20 + bridge</v>
      </c>
      <c r="F689" s="11">
        <f t="shared" si="70"/>
        <v>1</v>
      </c>
      <c r="G689" s="11" t="str">
        <f t="shared" si="71"/>
        <v/>
      </c>
      <c r="H689" s="11" t="str">
        <f t="shared" si="72"/>
        <v/>
      </c>
      <c r="I689" s="11">
        <f t="shared" si="73"/>
        <v>15</v>
      </c>
      <c r="J689" s="11">
        <v>1</v>
      </c>
      <c r="K689" s="11">
        <f t="shared" si="74"/>
        <v>1</v>
      </c>
      <c r="L689" s="11" t="str">
        <f>'DA - 51'!H153</f>
        <v xml:space="preserve">Aerobar Bolts: Top 25mm; Bottom 15mm </v>
      </c>
    </row>
    <row r="690" spans="1:12" x14ac:dyDescent="0.25">
      <c r="A690" s="11">
        <f>'DA - 51'!C154</f>
        <v>455</v>
      </c>
      <c r="B690" s="11">
        <f>'DA - 51'!D154</f>
        <v>425</v>
      </c>
      <c r="C690" s="11">
        <f>'DA - 51'!E154</f>
        <v>505</v>
      </c>
      <c r="D690" s="11">
        <f>'DA - 51'!G154</f>
        <v>655</v>
      </c>
      <c r="E690" s="11" t="str">
        <f>'DA - 51'!B154</f>
        <v>Frame: 51 ----- Stem: 100x60  ----- Aluminium Aerobar + 30</v>
      </c>
      <c r="F690" s="11">
        <f t="shared" si="70"/>
        <v>1</v>
      </c>
      <c r="G690" s="11">
        <f t="shared" si="71"/>
        <v>1</v>
      </c>
      <c r="H690" s="11" t="str">
        <f t="shared" si="72"/>
        <v/>
      </c>
      <c r="I690" s="11">
        <f t="shared" si="73"/>
        <v>15</v>
      </c>
      <c r="J690" s="11">
        <v>1</v>
      </c>
      <c r="K690" s="11">
        <f t="shared" si="74"/>
        <v>1</v>
      </c>
      <c r="L690" s="11" t="str">
        <f>'DA - 51'!H154</f>
        <v xml:space="preserve">Aerobar Bolts: Top 25mm; Bottom 15mm </v>
      </c>
    </row>
    <row r="691" spans="1:12" x14ac:dyDescent="0.25">
      <c r="A691" s="11">
        <f>'DA - 51'!C155</f>
        <v>455</v>
      </c>
      <c r="B691" s="11">
        <f>'DA - 51'!D155</f>
        <v>425</v>
      </c>
      <c r="C691" s="11">
        <f>'DA - 51'!E155</f>
        <v>505</v>
      </c>
      <c r="D691" s="11">
        <f>'DA - 51'!G155</f>
        <v>655</v>
      </c>
      <c r="E691" s="11" t="str">
        <f>'DA - 51'!B155</f>
        <v>Frame: 51 ----- Stem: 100x60  ----- Aluminium Aerobar + 20 + bridge + 5</v>
      </c>
      <c r="F691" s="11">
        <f t="shared" si="70"/>
        <v>1</v>
      </c>
      <c r="G691" s="11" t="str">
        <f t="shared" si="71"/>
        <v/>
      </c>
      <c r="H691" s="11" t="str">
        <f t="shared" si="72"/>
        <v/>
      </c>
      <c r="I691" s="11">
        <f t="shared" si="73"/>
        <v>15</v>
      </c>
      <c r="J691" s="11">
        <v>1</v>
      </c>
      <c r="K691" s="11">
        <f t="shared" si="74"/>
        <v>1</v>
      </c>
      <c r="L691" s="11" t="str">
        <f>'DA - 51'!H155</f>
        <v xml:space="preserve">Aerobar Bolts: Top 25mm; Bottom 15mm </v>
      </c>
    </row>
    <row r="692" spans="1:12" x14ac:dyDescent="0.25">
      <c r="A692" s="11">
        <f>'DA - 51'!C156</f>
        <v>455</v>
      </c>
      <c r="B692" s="11">
        <f>'DA - 51'!D156</f>
        <v>425</v>
      </c>
      <c r="C692" s="11">
        <f>'DA - 51'!E156</f>
        <v>505</v>
      </c>
      <c r="D692" s="11">
        <f>'DA - 51'!G156</f>
        <v>660</v>
      </c>
      <c r="E692" s="11" t="str">
        <f>'DA - 51'!B156</f>
        <v>Frame: 51 ----- Stem: 100x60  ----- Aluminium Aerobar + 30 + bridge</v>
      </c>
      <c r="F692" s="11">
        <f t="shared" si="70"/>
        <v>1</v>
      </c>
      <c r="G692" s="11">
        <f t="shared" si="71"/>
        <v>1</v>
      </c>
      <c r="H692" s="11" t="str">
        <f t="shared" si="72"/>
        <v/>
      </c>
      <c r="I692" s="11">
        <f t="shared" si="73"/>
        <v>15</v>
      </c>
      <c r="J692" s="11">
        <v>1</v>
      </c>
      <c r="K692" s="11">
        <f t="shared" si="74"/>
        <v>1</v>
      </c>
      <c r="L692" s="11" t="str">
        <f>'DA - 51'!H156</f>
        <v xml:space="preserve">Aerobar Bolts: Top 30mm; Bottom 15mm </v>
      </c>
    </row>
    <row r="693" spans="1:12" x14ac:dyDescent="0.25">
      <c r="A693" s="11">
        <f>'DA - 51'!C157</f>
        <v>455</v>
      </c>
      <c r="B693" s="11">
        <f>'DA - 51'!D157</f>
        <v>425</v>
      </c>
      <c r="C693" s="11">
        <f>'DA - 51'!E157</f>
        <v>505</v>
      </c>
      <c r="D693" s="11">
        <f>'DA - 51'!G157</f>
        <v>665</v>
      </c>
      <c r="E693" s="11" t="str">
        <f>'DA - 51'!B157</f>
        <v>Frame: 51 ----- Stem: 100x60  ----- Aluminium Aerobar + 30 + bridge + 5</v>
      </c>
      <c r="F693" s="11">
        <f t="shared" si="70"/>
        <v>1</v>
      </c>
      <c r="G693" s="11">
        <f t="shared" si="71"/>
        <v>1</v>
      </c>
      <c r="H693" s="11" t="str">
        <f t="shared" si="72"/>
        <v/>
      </c>
      <c r="I693" s="11">
        <f t="shared" si="73"/>
        <v>15</v>
      </c>
      <c r="J693" s="11">
        <v>1</v>
      </c>
      <c r="K693" s="11">
        <f t="shared" si="74"/>
        <v>1</v>
      </c>
      <c r="L693" s="11" t="str">
        <f>'DA - 51'!H157</f>
        <v xml:space="preserve">Aerobar Bolts: Top 30mm; Bottom 15mm </v>
      </c>
    </row>
    <row r="694" spans="1:12" x14ac:dyDescent="0.25">
      <c r="A694" s="11">
        <f>'DA - 51'!C158</f>
        <v>455</v>
      </c>
      <c r="B694" s="11">
        <f>'DA - 51'!D158</f>
        <v>425</v>
      </c>
      <c r="C694" s="11">
        <f>'DA - 51'!E158</f>
        <v>505</v>
      </c>
      <c r="D694" s="11">
        <f>'DA - 51'!G158</f>
        <v>670</v>
      </c>
      <c r="E694" s="11" t="str">
        <f>'DA - 51'!B158</f>
        <v>Frame: 51 ----- Stem: 100x60  ----- Aluminium Aerobar + 40 + bridge</v>
      </c>
      <c r="F694" s="11">
        <f t="shared" si="70"/>
        <v>1</v>
      </c>
      <c r="G694" s="11" t="str">
        <f t="shared" si="71"/>
        <v/>
      </c>
      <c r="H694" s="11">
        <f t="shared" si="72"/>
        <v>1</v>
      </c>
      <c r="I694" s="11">
        <f t="shared" si="73"/>
        <v>15</v>
      </c>
      <c r="J694" s="11">
        <v>1</v>
      </c>
      <c r="K694" s="11">
        <f t="shared" si="74"/>
        <v>1</v>
      </c>
      <c r="L694" s="11" t="str">
        <f>'DA - 51'!H158</f>
        <v xml:space="preserve">Aerobar Bolts: Top 35mm; Bottom 15mm </v>
      </c>
    </row>
    <row r="695" spans="1:12" x14ac:dyDescent="0.25">
      <c r="A695" s="11">
        <f>'DA - 51'!C159</f>
        <v>455</v>
      </c>
      <c r="B695" s="11">
        <f>'DA - 51'!D159</f>
        <v>425</v>
      </c>
      <c r="C695" s="11">
        <f>'DA - 51'!E159</f>
        <v>505</v>
      </c>
      <c r="D695" s="11">
        <f>'DA - 51'!G159</f>
        <v>675</v>
      </c>
      <c r="E695" s="11" t="str">
        <f>'DA - 51'!B159</f>
        <v>Frame: 51 ----- Stem: 100x60  ----- Aluminium Aerobar + 40 + bridge + 5</v>
      </c>
      <c r="F695" s="11">
        <f t="shared" si="70"/>
        <v>1</v>
      </c>
      <c r="G695" s="11" t="str">
        <f t="shared" si="71"/>
        <v/>
      </c>
      <c r="H695" s="11">
        <f t="shared" si="72"/>
        <v>1</v>
      </c>
      <c r="I695" s="11">
        <f t="shared" si="73"/>
        <v>15</v>
      </c>
      <c r="J695" s="11">
        <v>1</v>
      </c>
      <c r="K695" s="11">
        <f t="shared" si="74"/>
        <v>1</v>
      </c>
      <c r="L695" s="11" t="str">
        <f>'DA - 51'!H159</f>
        <v xml:space="preserve">Aerobar Bolts: Top 35mm; Bottom 15mm </v>
      </c>
    </row>
    <row r="696" spans="1:12" x14ac:dyDescent="0.25">
      <c r="A696" s="11">
        <f>'DA - 51'!C160</f>
        <v>455</v>
      </c>
      <c r="B696" s="11">
        <f>'DA - 51'!D160</f>
        <v>425</v>
      </c>
      <c r="C696" s="11">
        <f>'DA - 51'!E160</f>
        <v>505</v>
      </c>
      <c r="D696" s="11">
        <f>'DA - 51'!G160</f>
        <v>680</v>
      </c>
      <c r="E696" s="11" t="str">
        <f>'DA - 51'!B160</f>
        <v>Frame: 51 ----- Stem: 100x60  ----- Aluminium Aerobar + 40 + bridge + 10</v>
      </c>
      <c r="F696" s="11">
        <f t="shared" si="70"/>
        <v>1</v>
      </c>
      <c r="G696" s="11" t="str">
        <f t="shared" si="71"/>
        <v/>
      </c>
      <c r="H696" s="11">
        <f t="shared" si="72"/>
        <v>1</v>
      </c>
      <c r="I696" s="11">
        <f t="shared" si="73"/>
        <v>15</v>
      </c>
      <c r="J696" s="11">
        <v>1</v>
      </c>
      <c r="K696" s="11">
        <f t="shared" si="74"/>
        <v>1</v>
      </c>
      <c r="L696" s="11" t="str">
        <f>'DA - 51'!H160</f>
        <v xml:space="preserve">Aerobar Bolts: Top 35mm; Bottom 15mm </v>
      </c>
    </row>
    <row r="697" spans="1:12" x14ac:dyDescent="0.25">
      <c r="A697" s="11">
        <f>'DA - 51'!C161</f>
        <v>455</v>
      </c>
      <c r="B697" s="11">
        <f>'DA - 51'!D161</f>
        <v>425</v>
      </c>
      <c r="C697" s="11">
        <f>'DA - 51'!E161</f>
        <v>505</v>
      </c>
      <c r="D697" s="11">
        <f>'DA - 51'!G161</f>
        <v>685</v>
      </c>
      <c r="E697" s="11" t="str">
        <f>'DA - 51'!B161</f>
        <v>Frame: 51 ----- Stem: 100x60  ----- Aluminium Aerobar + 40 + bridge + 10 + 5</v>
      </c>
      <c r="F697" s="11">
        <f t="shared" si="70"/>
        <v>1</v>
      </c>
      <c r="G697" s="11" t="str">
        <f t="shared" si="71"/>
        <v/>
      </c>
      <c r="H697" s="11">
        <f t="shared" si="72"/>
        <v>1</v>
      </c>
      <c r="I697" s="11">
        <f t="shared" si="73"/>
        <v>15</v>
      </c>
      <c r="J697" s="11">
        <v>1</v>
      </c>
      <c r="K697" s="11">
        <f t="shared" si="74"/>
        <v>1</v>
      </c>
      <c r="L697" s="11" t="str">
        <f>'DA - 51'!H161</f>
        <v xml:space="preserve">Aerobar Bolts: Top 35mm; Bottom 25mm </v>
      </c>
    </row>
    <row r="698" spans="1:12" x14ac:dyDescent="0.25">
      <c r="A698" s="11">
        <f>'DA - 51'!C162</f>
        <v>460</v>
      </c>
      <c r="B698" s="11">
        <f>'DA - 51'!D162</f>
        <v>430</v>
      </c>
      <c r="C698" s="11">
        <f>'DA - 51'!E162</f>
        <v>510</v>
      </c>
      <c r="D698" s="11">
        <f>'DA - 51'!G162</f>
        <v>565</v>
      </c>
      <c r="E698" s="11" t="str">
        <f>'DA - 51'!B162</f>
        <v>Frame: 51 ----- Stem: 90x0  ----- Aluminium Aerobar</v>
      </c>
      <c r="F698" s="11">
        <f t="shared" si="70"/>
        <v>1</v>
      </c>
      <c r="G698" s="11" t="str">
        <f t="shared" si="71"/>
        <v/>
      </c>
      <c r="H698" s="11" t="str">
        <f t="shared" si="72"/>
        <v/>
      </c>
      <c r="I698" s="11">
        <f t="shared" si="73"/>
        <v>10</v>
      </c>
      <c r="J698" s="11">
        <v>1</v>
      </c>
      <c r="K698" s="11">
        <f t="shared" si="74"/>
        <v>1</v>
      </c>
      <c r="L698" s="11" t="str">
        <f>'DA - 51'!H162</f>
        <v xml:space="preserve">Aerobar Bolts: Top 20mm; Bottom N/A </v>
      </c>
    </row>
    <row r="699" spans="1:12" x14ac:dyDescent="0.25">
      <c r="A699" s="11">
        <f>'DA - 51'!C163</f>
        <v>460</v>
      </c>
      <c r="B699" s="11">
        <f>'DA - 51'!D163</f>
        <v>430</v>
      </c>
      <c r="C699" s="11">
        <f>'DA - 51'!E163</f>
        <v>510</v>
      </c>
      <c r="D699" s="11">
        <f>'DA - 51'!G163</f>
        <v>570</v>
      </c>
      <c r="E699" s="11" t="str">
        <f>'DA - 51'!B163</f>
        <v>Frame: 51 ----- Stem: 90x0  ----- Aluminium Aerobar + 5</v>
      </c>
      <c r="F699" s="11">
        <f t="shared" si="70"/>
        <v>1</v>
      </c>
      <c r="G699" s="11" t="str">
        <f t="shared" si="71"/>
        <v/>
      </c>
      <c r="H699" s="11" t="str">
        <f t="shared" si="72"/>
        <v/>
      </c>
      <c r="I699" s="11">
        <f t="shared" si="73"/>
        <v>10</v>
      </c>
      <c r="J699" s="11">
        <v>1</v>
      </c>
      <c r="K699" s="11">
        <f t="shared" si="74"/>
        <v>1</v>
      </c>
      <c r="L699" s="11" t="str">
        <f>'DA - 51'!H163</f>
        <v xml:space="preserve">Aerobar Bolts: Top 25mm; Bottom N/A </v>
      </c>
    </row>
    <row r="700" spans="1:12" x14ac:dyDescent="0.25">
      <c r="A700" s="11">
        <f>'DA - 51'!C164</f>
        <v>460</v>
      </c>
      <c r="B700" s="11">
        <f>'DA - 51'!D164</f>
        <v>430</v>
      </c>
      <c r="C700" s="11">
        <f>'DA - 51'!E164</f>
        <v>510</v>
      </c>
      <c r="D700" s="11">
        <f>'DA - 51'!G164</f>
        <v>575</v>
      </c>
      <c r="E700" s="11" t="str">
        <f>'DA - 51'!B164</f>
        <v>Frame: 51 ----- Stem: 90x0  ----- Aluminium Aerobar + 10</v>
      </c>
      <c r="F700" s="11">
        <f t="shared" si="70"/>
        <v>1</v>
      </c>
      <c r="G700" s="11" t="str">
        <f t="shared" si="71"/>
        <v/>
      </c>
      <c r="H700" s="11" t="str">
        <f t="shared" si="72"/>
        <v/>
      </c>
      <c r="I700" s="11">
        <f t="shared" si="73"/>
        <v>10</v>
      </c>
      <c r="J700" s="11">
        <v>1</v>
      </c>
      <c r="K700" s="11">
        <f t="shared" si="74"/>
        <v>1</v>
      </c>
      <c r="L700" s="11" t="str">
        <f>'DA - 51'!H164</f>
        <v xml:space="preserve">Aerobar Bolts: Top 30mm; Bottom N/A </v>
      </c>
    </row>
    <row r="701" spans="1:12" x14ac:dyDescent="0.25">
      <c r="A701" s="11">
        <f>'DA - 51'!C165</f>
        <v>460</v>
      </c>
      <c r="B701" s="11">
        <f>'DA - 51'!D165</f>
        <v>430</v>
      </c>
      <c r="C701" s="11">
        <f>'DA - 51'!E165</f>
        <v>510</v>
      </c>
      <c r="D701" s="11">
        <f>'DA - 51'!G165</f>
        <v>580</v>
      </c>
      <c r="E701" s="11" t="str">
        <f>'DA - 51'!B165</f>
        <v>Frame: 51 ----- Stem: 90x0  ----- Aluminium Aerobar + 5 + 10</v>
      </c>
      <c r="F701" s="11">
        <f t="shared" si="70"/>
        <v>1</v>
      </c>
      <c r="G701" s="11" t="str">
        <f t="shared" si="71"/>
        <v/>
      </c>
      <c r="H701" s="11" t="str">
        <f t="shared" si="72"/>
        <v/>
      </c>
      <c r="I701" s="11">
        <f t="shared" si="73"/>
        <v>10</v>
      </c>
      <c r="J701" s="11">
        <v>1</v>
      </c>
      <c r="K701" s="11">
        <f t="shared" si="74"/>
        <v>1</v>
      </c>
      <c r="L701" s="11" t="str">
        <f>'DA - 51'!H165</f>
        <v xml:space="preserve">Aerobar Bolts: Top 35mm; Bottom N/A </v>
      </c>
    </row>
    <row r="702" spans="1:12" x14ac:dyDescent="0.25">
      <c r="A702" s="11">
        <f>'DA - 51'!C166</f>
        <v>460</v>
      </c>
      <c r="B702" s="11">
        <f>'DA - 51'!D166</f>
        <v>430</v>
      </c>
      <c r="C702" s="11">
        <f>'DA - 51'!E166</f>
        <v>510</v>
      </c>
      <c r="D702" s="11">
        <f>'DA - 51'!G166</f>
        <v>585</v>
      </c>
      <c r="E702" s="11" t="str">
        <f>'DA - 51'!B166</f>
        <v>Frame: 51 ----- Stem: 90x0  ----- Aluminium Aerobar + 20</v>
      </c>
      <c r="F702" s="11">
        <f t="shared" si="70"/>
        <v>1</v>
      </c>
      <c r="G702" s="11" t="str">
        <f t="shared" si="71"/>
        <v/>
      </c>
      <c r="H702" s="11" t="str">
        <f t="shared" si="72"/>
        <v/>
      </c>
      <c r="I702" s="11">
        <f t="shared" si="73"/>
        <v>10</v>
      </c>
      <c r="J702" s="11">
        <v>1</v>
      </c>
      <c r="K702" s="11">
        <f t="shared" si="74"/>
        <v>1</v>
      </c>
      <c r="L702" s="11" t="str">
        <f>'DA - 51'!H166</f>
        <v xml:space="preserve">Aerobar Bolts: Top 20mm; Bottom 15mm </v>
      </c>
    </row>
    <row r="703" spans="1:12" x14ac:dyDescent="0.25">
      <c r="A703" s="11">
        <f>'DA - 51'!C167</f>
        <v>460</v>
      </c>
      <c r="B703" s="11">
        <f>'DA - 51'!D167</f>
        <v>430</v>
      </c>
      <c r="C703" s="11">
        <f>'DA - 51'!E167</f>
        <v>510</v>
      </c>
      <c r="D703" s="11">
        <f>'DA - 51'!G167</f>
        <v>590</v>
      </c>
      <c r="E703" s="11" t="str">
        <f>'DA - 51'!B167</f>
        <v>Frame: 51 ----- Stem: 90x0  ----- Aluminium Aerobar + 20 + 5</v>
      </c>
      <c r="F703" s="11">
        <f t="shared" si="70"/>
        <v>1</v>
      </c>
      <c r="G703" s="11" t="str">
        <f t="shared" si="71"/>
        <v/>
      </c>
      <c r="H703" s="11" t="str">
        <f t="shared" si="72"/>
        <v/>
      </c>
      <c r="I703" s="11">
        <f t="shared" si="73"/>
        <v>10</v>
      </c>
      <c r="J703" s="11">
        <v>1</v>
      </c>
      <c r="K703" s="11">
        <f t="shared" si="74"/>
        <v>1</v>
      </c>
      <c r="L703" s="11" t="str">
        <f>'DA - 51'!H167</f>
        <v xml:space="preserve">Aerobar Bolts: Top 25mm; Bottom 15mm </v>
      </c>
    </row>
    <row r="704" spans="1:12" x14ac:dyDescent="0.25">
      <c r="A704" s="11">
        <f>'DA - 51'!C168</f>
        <v>460</v>
      </c>
      <c r="B704" s="11">
        <f>'DA - 51'!D168</f>
        <v>430</v>
      </c>
      <c r="C704" s="11">
        <f>'DA - 51'!E168</f>
        <v>510</v>
      </c>
      <c r="D704" s="11">
        <f>'DA - 51'!G168</f>
        <v>590</v>
      </c>
      <c r="E704" s="11" t="str">
        <f>'DA - 51'!B168</f>
        <v>Frame: 51 ----- Stem: 90x0  ----- Aluminium Aerobar + 20 + bridge</v>
      </c>
      <c r="F704" s="11">
        <f t="shared" si="70"/>
        <v>1</v>
      </c>
      <c r="G704" s="11" t="str">
        <f t="shared" si="71"/>
        <v/>
      </c>
      <c r="H704" s="11" t="str">
        <f t="shared" si="72"/>
        <v/>
      </c>
      <c r="I704" s="11">
        <f t="shared" si="73"/>
        <v>10</v>
      </c>
      <c r="J704" s="11">
        <v>1</v>
      </c>
      <c r="K704" s="11">
        <f t="shared" si="74"/>
        <v>1</v>
      </c>
      <c r="L704" s="11" t="str">
        <f>'DA - 51'!H168</f>
        <v xml:space="preserve">Aerobar Bolts: Top 25mm; Bottom 15mm </v>
      </c>
    </row>
    <row r="705" spans="1:12" x14ac:dyDescent="0.25">
      <c r="A705" s="11">
        <f>'DA - 51'!C169</f>
        <v>460</v>
      </c>
      <c r="B705" s="11">
        <f>'DA - 51'!D169</f>
        <v>430</v>
      </c>
      <c r="C705" s="11">
        <f>'DA - 51'!E169</f>
        <v>510</v>
      </c>
      <c r="D705" s="11">
        <f>'DA - 51'!G169</f>
        <v>595</v>
      </c>
      <c r="E705" s="11" t="str">
        <f>'DA - 51'!B169</f>
        <v>Frame: 51 ----- Stem: 90x0  ----- Aluminium Aerobar + 30</v>
      </c>
      <c r="F705" s="11">
        <f t="shared" ref="F705:F768" si="75">IF(AND($F$5&gt;=B705,$F$5&lt;=C705),1,"")</f>
        <v>1</v>
      </c>
      <c r="G705" s="11">
        <f t="shared" si="71"/>
        <v>1</v>
      </c>
      <c r="H705" s="11" t="str">
        <f t="shared" si="72"/>
        <v/>
      </c>
      <c r="I705" s="11">
        <f t="shared" si="73"/>
        <v>10</v>
      </c>
      <c r="J705" s="11">
        <v>1</v>
      </c>
      <c r="K705" s="11">
        <f t="shared" si="74"/>
        <v>1</v>
      </c>
      <c r="L705" s="11" t="str">
        <f>'DA - 51'!H169</f>
        <v xml:space="preserve">Aerobar Bolts: Top 25mm; Bottom 15mm </v>
      </c>
    </row>
    <row r="706" spans="1:12" x14ac:dyDescent="0.25">
      <c r="A706" s="11">
        <f>'DA - 51'!C170</f>
        <v>460</v>
      </c>
      <c r="B706" s="11">
        <f>'DA - 51'!D170</f>
        <v>430</v>
      </c>
      <c r="C706" s="11">
        <f>'DA - 51'!E170</f>
        <v>510</v>
      </c>
      <c r="D706" s="11">
        <f>'DA - 51'!G170</f>
        <v>595</v>
      </c>
      <c r="E706" s="11" t="str">
        <f>'DA - 51'!B170</f>
        <v>Frame: 51 ----- Stem: 90x0  ----- Aluminium Aerobar + 20 + bridge + 5</v>
      </c>
      <c r="F706" s="11">
        <f t="shared" si="75"/>
        <v>1</v>
      </c>
      <c r="G706" s="11" t="str">
        <f t="shared" si="71"/>
        <v/>
      </c>
      <c r="H706" s="11" t="str">
        <f t="shared" si="72"/>
        <v/>
      </c>
      <c r="I706" s="11">
        <f t="shared" si="73"/>
        <v>10</v>
      </c>
      <c r="J706" s="11">
        <v>1</v>
      </c>
      <c r="K706" s="11">
        <f t="shared" si="74"/>
        <v>1</v>
      </c>
      <c r="L706" s="11" t="str">
        <f>'DA - 51'!H170</f>
        <v xml:space="preserve">Aerobar Bolts: Top 25mm; Bottom 15mm </v>
      </c>
    </row>
    <row r="707" spans="1:12" x14ac:dyDescent="0.25">
      <c r="A707" s="11">
        <f>'DA - 51'!C171</f>
        <v>460</v>
      </c>
      <c r="B707" s="11">
        <f>'DA - 51'!D171</f>
        <v>430</v>
      </c>
      <c r="C707" s="11">
        <f>'DA - 51'!E171</f>
        <v>510</v>
      </c>
      <c r="D707" s="11">
        <f>'DA - 51'!G171</f>
        <v>600</v>
      </c>
      <c r="E707" s="11" t="str">
        <f>'DA - 51'!B171</f>
        <v>Frame: 51 ----- Stem: 90x0  ----- Aluminium Aerobar + 30 + bridge</v>
      </c>
      <c r="F707" s="11">
        <f t="shared" si="75"/>
        <v>1</v>
      </c>
      <c r="G707" s="11">
        <f t="shared" si="71"/>
        <v>1</v>
      </c>
      <c r="H707" s="11" t="str">
        <f t="shared" si="72"/>
        <v/>
      </c>
      <c r="I707" s="11">
        <f t="shared" si="73"/>
        <v>10</v>
      </c>
      <c r="J707" s="11">
        <v>1</v>
      </c>
      <c r="K707" s="11">
        <f t="shared" si="74"/>
        <v>1</v>
      </c>
      <c r="L707" s="11" t="str">
        <f>'DA - 51'!H171</f>
        <v xml:space="preserve">Aerobar Bolts: Top 30mm; Bottom 15mm </v>
      </c>
    </row>
    <row r="708" spans="1:12" x14ac:dyDescent="0.25">
      <c r="A708" s="11">
        <f>'DA - 51'!C172</f>
        <v>460</v>
      </c>
      <c r="B708" s="11">
        <f>'DA - 51'!D172</f>
        <v>430</v>
      </c>
      <c r="C708" s="11">
        <f>'DA - 51'!E172</f>
        <v>510</v>
      </c>
      <c r="D708" s="11">
        <f>'DA - 51'!G172</f>
        <v>605</v>
      </c>
      <c r="E708" s="11" t="str">
        <f>'DA - 51'!B172</f>
        <v>Frame: 51 ----- Stem: 90x0  ----- Aluminium Aerobar + 30 + bridge + 5</v>
      </c>
      <c r="F708" s="11">
        <f t="shared" si="75"/>
        <v>1</v>
      </c>
      <c r="G708" s="11">
        <f t="shared" si="71"/>
        <v>1</v>
      </c>
      <c r="H708" s="11" t="str">
        <f t="shared" si="72"/>
        <v/>
      </c>
      <c r="I708" s="11">
        <f t="shared" si="73"/>
        <v>10</v>
      </c>
      <c r="J708" s="11">
        <v>1</v>
      </c>
      <c r="K708" s="11">
        <f t="shared" si="74"/>
        <v>1</v>
      </c>
      <c r="L708" s="11" t="str">
        <f>'DA - 51'!H172</f>
        <v xml:space="preserve">Aerobar Bolts: Top 30mm; Bottom 15mm </v>
      </c>
    </row>
    <row r="709" spans="1:12" x14ac:dyDescent="0.25">
      <c r="A709" s="11">
        <f>'DA - 51'!C173</f>
        <v>460</v>
      </c>
      <c r="B709" s="11">
        <f>'DA - 51'!D173</f>
        <v>430</v>
      </c>
      <c r="C709" s="11">
        <f>'DA - 51'!E173</f>
        <v>510</v>
      </c>
      <c r="D709" s="11">
        <f>'DA - 51'!G173</f>
        <v>610</v>
      </c>
      <c r="E709" s="11" t="str">
        <f>'DA - 51'!B173</f>
        <v>Frame: 51 ----- Stem: 90x0  ----- Aluminium Aerobar + 40 + bridge</v>
      </c>
      <c r="F709" s="11">
        <f t="shared" si="75"/>
        <v>1</v>
      </c>
      <c r="G709" s="11" t="str">
        <f t="shared" si="71"/>
        <v/>
      </c>
      <c r="H709" s="11">
        <f t="shared" si="72"/>
        <v>1</v>
      </c>
      <c r="I709" s="11">
        <f t="shared" si="73"/>
        <v>10</v>
      </c>
      <c r="J709" s="11">
        <v>1</v>
      </c>
      <c r="K709" s="11">
        <f t="shared" si="74"/>
        <v>1</v>
      </c>
      <c r="L709" s="11" t="str">
        <f>'DA - 51'!H173</f>
        <v xml:space="preserve">Aerobar Bolts: Top 35mm; Bottom 15mm </v>
      </c>
    </row>
    <row r="710" spans="1:12" x14ac:dyDescent="0.25">
      <c r="A710" s="11">
        <f>'DA - 51'!C174</f>
        <v>460</v>
      </c>
      <c r="B710" s="11">
        <f>'DA - 51'!D174</f>
        <v>430</v>
      </c>
      <c r="C710" s="11">
        <f>'DA - 51'!E174</f>
        <v>510</v>
      </c>
      <c r="D710" s="11">
        <f>'DA - 51'!G174</f>
        <v>615</v>
      </c>
      <c r="E710" s="11" t="str">
        <f>'DA - 51'!B174</f>
        <v>Frame: 51 ----- Stem: 90x0  ----- Aluminium Aerobar + 40 + bridge + 5</v>
      </c>
      <c r="F710" s="11">
        <f t="shared" si="75"/>
        <v>1</v>
      </c>
      <c r="G710" s="11" t="str">
        <f t="shared" si="71"/>
        <v/>
      </c>
      <c r="H710" s="11">
        <f t="shared" si="72"/>
        <v>1</v>
      </c>
      <c r="I710" s="11">
        <f t="shared" si="73"/>
        <v>10</v>
      </c>
      <c r="J710" s="11">
        <v>1</v>
      </c>
      <c r="K710" s="11">
        <f t="shared" si="74"/>
        <v>1</v>
      </c>
      <c r="L710" s="11" t="str">
        <f>'DA - 51'!H174</f>
        <v xml:space="preserve">Aerobar Bolts: Top 35mm; Bottom 15mm </v>
      </c>
    </row>
    <row r="711" spans="1:12" x14ac:dyDescent="0.25">
      <c r="A711" s="11">
        <f>'DA - 51'!C175</f>
        <v>460</v>
      </c>
      <c r="B711" s="11">
        <f>'DA - 51'!D175</f>
        <v>430</v>
      </c>
      <c r="C711" s="11">
        <f>'DA - 51'!E175</f>
        <v>510</v>
      </c>
      <c r="D711" s="11">
        <f>'DA - 51'!G175</f>
        <v>620</v>
      </c>
      <c r="E711" s="11" t="str">
        <f>'DA - 51'!B175</f>
        <v>Frame: 51 ----- Stem: 90x0  ----- Aluminium Aerobar + 40 + bridge + 10</v>
      </c>
      <c r="F711" s="11">
        <f t="shared" si="75"/>
        <v>1</v>
      </c>
      <c r="G711" s="11" t="str">
        <f t="shared" si="71"/>
        <v/>
      </c>
      <c r="H711" s="11">
        <f t="shared" si="72"/>
        <v>1</v>
      </c>
      <c r="I711" s="11">
        <f t="shared" si="73"/>
        <v>10</v>
      </c>
      <c r="J711" s="11">
        <v>1</v>
      </c>
      <c r="K711" s="11">
        <f t="shared" si="74"/>
        <v>1</v>
      </c>
      <c r="L711" s="11" t="str">
        <f>'DA - 51'!H175</f>
        <v xml:space="preserve">Aerobar Bolts: Top 35mm; Bottom 15mm </v>
      </c>
    </row>
    <row r="712" spans="1:12" x14ac:dyDescent="0.25">
      <c r="A712" s="11">
        <f>'DA - 51'!C176</f>
        <v>460</v>
      </c>
      <c r="B712" s="11">
        <f>'DA - 51'!D176</f>
        <v>430</v>
      </c>
      <c r="C712" s="11">
        <f>'DA - 51'!E176</f>
        <v>510</v>
      </c>
      <c r="D712" s="11">
        <f>'DA - 51'!G176</f>
        <v>625</v>
      </c>
      <c r="E712" s="11" t="str">
        <f>'DA - 51'!B176</f>
        <v>Frame: 51 ----- Stem: 90x0  ----- Aluminium Aerobar + 40 + bridge + 10 + 5</v>
      </c>
      <c r="F712" s="11">
        <f t="shared" si="75"/>
        <v>1</v>
      </c>
      <c r="G712" s="11" t="str">
        <f t="shared" si="71"/>
        <v/>
      </c>
      <c r="H712" s="11">
        <f t="shared" si="72"/>
        <v>1</v>
      </c>
      <c r="I712" s="11">
        <f t="shared" si="73"/>
        <v>10</v>
      </c>
      <c r="J712" s="11">
        <v>1</v>
      </c>
      <c r="K712" s="11">
        <f t="shared" si="74"/>
        <v>1</v>
      </c>
      <c r="L712" s="11" t="str">
        <f>'DA - 51'!H176</f>
        <v xml:space="preserve">Aerobar Bolts: Top 35mm; Bottom 25mm </v>
      </c>
    </row>
    <row r="713" spans="1:12" x14ac:dyDescent="0.25">
      <c r="A713" s="11">
        <f>'DA - 51'!C177</f>
        <v>480</v>
      </c>
      <c r="B713" s="11">
        <f>'DA - 51'!D177</f>
        <v>450</v>
      </c>
      <c r="C713" s="11">
        <f>'DA - 51'!E177</f>
        <v>530</v>
      </c>
      <c r="D713" s="11">
        <f>'DA - 51'!G177</f>
        <v>565</v>
      </c>
      <c r="E713" s="11" t="str">
        <f>'DA - 51'!B177</f>
        <v>Frame: 51 ----- Stem: 110x0  ----- Aluminium Aerobar</v>
      </c>
      <c r="F713" s="11">
        <f t="shared" si="75"/>
        <v>1</v>
      </c>
      <c r="G713" s="11" t="str">
        <f t="shared" ref="G713:G776" si="76">IF(ISNUMBER(FIND(" 30",E713)),1,"")</f>
        <v/>
      </c>
      <c r="H713" s="11" t="str">
        <f t="shared" ref="H713:H776" si="77">IF(ISNUMBER(FIND(" 40",E713)),1,"")</f>
        <v/>
      </c>
      <c r="I713" s="11">
        <f t="shared" ref="I713:I776" si="78">$F$5-A713</f>
        <v>-10</v>
      </c>
      <c r="J713" s="11">
        <v>1</v>
      </c>
      <c r="K713" s="11">
        <f t="shared" ref="K713:K776" si="79">IF(ISNUMBER(FIND(" 58",E713)),$AD$9,IF(ISNUMBER(FIND(" 56",E713)),$AD$8,IF(ISNUMBER(FIND(" 54",E713)),$AD$7,IF(ISNUMBER(FIND(" 51",E713)),$AD$6,IF(ISNUMBER(FIND(" 47",E713)),$AD$5,"")))))</f>
        <v>1</v>
      </c>
      <c r="L713" s="11" t="str">
        <f>'DA - 51'!H177</f>
        <v xml:space="preserve">Aerobar Bolts: Top 20mm; Bottom N/A </v>
      </c>
    </row>
    <row r="714" spans="1:12" x14ac:dyDescent="0.25">
      <c r="A714" s="11">
        <f>'DA - 51'!C178</f>
        <v>480</v>
      </c>
      <c r="B714" s="11">
        <f>'DA - 51'!D178</f>
        <v>450</v>
      </c>
      <c r="C714" s="11">
        <f>'DA - 51'!E178</f>
        <v>530</v>
      </c>
      <c r="D714" s="11">
        <f>'DA - 51'!G178</f>
        <v>570</v>
      </c>
      <c r="E714" s="11" t="str">
        <f>'DA - 51'!B178</f>
        <v>Frame: 51 ----- Stem: 110x0  ----- Aluminium Aerobar + 5</v>
      </c>
      <c r="F714" s="11">
        <f t="shared" si="75"/>
        <v>1</v>
      </c>
      <c r="G714" s="11" t="str">
        <f t="shared" si="76"/>
        <v/>
      </c>
      <c r="H714" s="11" t="str">
        <f t="shared" si="77"/>
        <v/>
      </c>
      <c r="I714" s="11">
        <f t="shared" si="78"/>
        <v>-10</v>
      </c>
      <c r="J714" s="11">
        <v>1</v>
      </c>
      <c r="K714" s="11">
        <f t="shared" si="79"/>
        <v>1</v>
      </c>
      <c r="L714" s="11" t="str">
        <f>'DA - 51'!H178</f>
        <v xml:space="preserve">Aerobar Bolts: Top 25mm; Bottom N/A </v>
      </c>
    </row>
    <row r="715" spans="1:12" x14ac:dyDescent="0.25">
      <c r="A715" s="11">
        <f>'DA - 51'!C179</f>
        <v>480</v>
      </c>
      <c r="B715" s="11">
        <f>'DA - 51'!D179</f>
        <v>450</v>
      </c>
      <c r="C715" s="11">
        <f>'DA - 51'!E179</f>
        <v>530</v>
      </c>
      <c r="D715" s="11">
        <f>'DA - 51'!G179</f>
        <v>575</v>
      </c>
      <c r="E715" s="11" t="str">
        <f>'DA - 51'!B179</f>
        <v>Frame: 51 ----- Stem: 110x0  ----- Aluminium Aerobar + 10</v>
      </c>
      <c r="F715" s="11">
        <f t="shared" si="75"/>
        <v>1</v>
      </c>
      <c r="G715" s="11" t="str">
        <f t="shared" si="76"/>
        <v/>
      </c>
      <c r="H715" s="11" t="str">
        <f t="shared" si="77"/>
        <v/>
      </c>
      <c r="I715" s="11">
        <f t="shared" si="78"/>
        <v>-10</v>
      </c>
      <c r="J715" s="11">
        <v>1</v>
      </c>
      <c r="K715" s="11">
        <f t="shared" si="79"/>
        <v>1</v>
      </c>
      <c r="L715" s="11" t="str">
        <f>'DA - 51'!H179</f>
        <v xml:space="preserve">Aerobar Bolts: Top 30mm; Bottom N/A </v>
      </c>
    </row>
    <row r="716" spans="1:12" x14ac:dyDescent="0.25">
      <c r="A716" s="11">
        <f>'DA - 51'!C180</f>
        <v>480</v>
      </c>
      <c r="B716" s="11">
        <f>'DA - 51'!D180</f>
        <v>450</v>
      </c>
      <c r="C716" s="11">
        <f>'DA - 51'!E180</f>
        <v>530</v>
      </c>
      <c r="D716" s="11">
        <f>'DA - 51'!G180</f>
        <v>580</v>
      </c>
      <c r="E716" s="11" t="str">
        <f>'DA - 51'!B180</f>
        <v>Frame: 51 ----- Stem: 110x0  ----- Aluminium Aerobar + 5 + 10</v>
      </c>
      <c r="F716" s="11">
        <f t="shared" si="75"/>
        <v>1</v>
      </c>
      <c r="G716" s="11" t="str">
        <f t="shared" si="76"/>
        <v/>
      </c>
      <c r="H716" s="11" t="str">
        <f t="shared" si="77"/>
        <v/>
      </c>
      <c r="I716" s="11">
        <f t="shared" si="78"/>
        <v>-10</v>
      </c>
      <c r="J716" s="11">
        <v>1</v>
      </c>
      <c r="K716" s="11">
        <f t="shared" si="79"/>
        <v>1</v>
      </c>
      <c r="L716" s="11" t="str">
        <f>'DA - 51'!H180</f>
        <v xml:space="preserve">Aerobar Bolts: Top 35mm; Bottom N/A </v>
      </c>
    </row>
    <row r="717" spans="1:12" x14ac:dyDescent="0.25">
      <c r="A717" s="11">
        <f>'DA - 51'!C181</f>
        <v>480</v>
      </c>
      <c r="B717" s="11">
        <f>'DA - 51'!D181</f>
        <v>450</v>
      </c>
      <c r="C717" s="11">
        <f>'DA - 51'!E181</f>
        <v>530</v>
      </c>
      <c r="D717" s="11">
        <f>'DA - 51'!G181</f>
        <v>585</v>
      </c>
      <c r="E717" s="11" t="str">
        <f>'DA - 51'!B181</f>
        <v>Frame: 51 ----- Stem: 110x0  ----- Aluminium Aerobar + 20</v>
      </c>
      <c r="F717" s="11">
        <f t="shared" si="75"/>
        <v>1</v>
      </c>
      <c r="G717" s="11" t="str">
        <f t="shared" si="76"/>
        <v/>
      </c>
      <c r="H717" s="11" t="str">
        <f t="shared" si="77"/>
        <v/>
      </c>
      <c r="I717" s="11">
        <f t="shared" si="78"/>
        <v>-10</v>
      </c>
      <c r="J717" s="11">
        <v>1</v>
      </c>
      <c r="K717" s="11">
        <f t="shared" si="79"/>
        <v>1</v>
      </c>
      <c r="L717" s="11" t="str">
        <f>'DA - 51'!H181</f>
        <v xml:space="preserve">Aerobar Bolts: Top 20mm; Bottom 15mm </v>
      </c>
    </row>
    <row r="718" spans="1:12" x14ac:dyDescent="0.25">
      <c r="A718" s="11">
        <f>'DA - 51'!C182</f>
        <v>480</v>
      </c>
      <c r="B718" s="11">
        <f>'DA - 51'!D182</f>
        <v>450</v>
      </c>
      <c r="C718" s="11">
        <f>'DA - 51'!E182</f>
        <v>530</v>
      </c>
      <c r="D718" s="11">
        <f>'DA - 51'!G182</f>
        <v>590</v>
      </c>
      <c r="E718" s="11" t="str">
        <f>'DA - 51'!B182</f>
        <v>Frame: 51 ----- Stem: 110x0  ----- Aluminium Aerobar + 20 + 5</v>
      </c>
      <c r="F718" s="11">
        <f t="shared" si="75"/>
        <v>1</v>
      </c>
      <c r="G718" s="11" t="str">
        <f t="shared" si="76"/>
        <v/>
      </c>
      <c r="H718" s="11" t="str">
        <f t="shared" si="77"/>
        <v/>
      </c>
      <c r="I718" s="11">
        <f t="shared" si="78"/>
        <v>-10</v>
      </c>
      <c r="J718" s="11">
        <v>1</v>
      </c>
      <c r="K718" s="11">
        <f t="shared" si="79"/>
        <v>1</v>
      </c>
      <c r="L718" s="11" t="str">
        <f>'DA - 51'!H182</f>
        <v xml:space="preserve">Aerobar Bolts: Top 25mm; Bottom 15mm </v>
      </c>
    </row>
    <row r="719" spans="1:12" x14ac:dyDescent="0.25">
      <c r="A719" s="11">
        <f>'DA - 51'!C183</f>
        <v>480</v>
      </c>
      <c r="B719" s="11">
        <f>'DA - 51'!D183</f>
        <v>450</v>
      </c>
      <c r="C719" s="11">
        <f>'DA - 51'!E183</f>
        <v>530</v>
      </c>
      <c r="D719" s="11">
        <f>'DA - 51'!G183</f>
        <v>590</v>
      </c>
      <c r="E719" s="11" t="str">
        <f>'DA - 51'!B183</f>
        <v>Frame: 51 ----- Stem: 110x0  ----- Aluminium Aerobar + 20 + bridge</v>
      </c>
      <c r="F719" s="11">
        <f t="shared" si="75"/>
        <v>1</v>
      </c>
      <c r="G719" s="11" t="str">
        <f t="shared" si="76"/>
        <v/>
      </c>
      <c r="H719" s="11" t="str">
        <f t="shared" si="77"/>
        <v/>
      </c>
      <c r="I719" s="11">
        <f t="shared" si="78"/>
        <v>-10</v>
      </c>
      <c r="J719" s="11">
        <v>1</v>
      </c>
      <c r="K719" s="11">
        <f t="shared" si="79"/>
        <v>1</v>
      </c>
      <c r="L719" s="11" t="str">
        <f>'DA - 51'!H183</f>
        <v xml:space="preserve">Aerobar Bolts: Top 25mm; Bottom 15mm </v>
      </c>
    </row>
    <row r="720" spans="1:12" x14ac:dyDescent="0.25">
      <c r="A720" s="11">
        <f>'DA - 51'!C184</f>
        <v>480</v>
      </c>
      <c r="B720" s="11">
        <f>'DA - 51'!D184</f>
        <v>450</v>
      </c>
      <c r="C720" s="11">
        <f>'DA - 51'!E184</f>
        <v>530</v>
      </c>
      <c r="D720" s="11">
        <f>'DA - 51'!G184</f>
        <v>595</v>
      </c>
      <c r="E720" s="11" t="str">
        <f>'DA - 51'!B184</f>
        <v>Frame: 51 ----- Stem: 110x0  ----- Aluminium Aerobar + 30</v>
      </c>
      <c r="F720" s="11">
        <f t="shared" si="75"/>
        <v>1</v>
      </c>
      <c r="G720" s="11">
        <f t="shared" si="76"/>
        <v>1</v>
      </c>
      <c r="H720" s="11" t="str">
        <f t="shared" si="77"/>
        <v/>
      </c>
      <c r="I720" s="11">
        <f t="shared" si="78"/>
        <v>-10</v>
      </c>
      <c r="J720" s="11">
        <v>1</v>
      </c>
      <c r="K720" s="11">
        <f t="shared" si="79"/>
        <v>1</v>
      </c>
      <c r="L720" s="11" t="str">
        <f>'DA - 51'!H184</f>
        <v xml:space="preserve">Aerobar Bolts: Top 25mm; Bottom 15mm </v>
      </c>
    </row>
    <row r="721" spans="1:12" x14ac:dyDescent="0.25">
      <c r="A721" s="11">
        <f>'DA - 51'!C185</f>
        <v>480</v>
      </c>
      <c r="B721" s="11">
        <f>'DA - 51'!D185</f>
        <v>450</v>
      </c>
      <c r="C721" s="11">
        <f>'DA - 51'!E185</f>
        <v>530</v>
      </c>
      <c r="D721" s="11">
        <f>'DA - 51'!G185</f>
        <v>595</v>
      </c>
      <c r="E721" s="11" t="str">
        <f>'DA - 51'!B185</f>
        <v>Frame: 51 ----- Stem: 110x0  ----- Aluminium Aerobar + 20 + bridge + 5</v>
      </c>
      <c r="F721" s="11">
        <f t="shared" si="75"/>
        <v>1</v>
      </c>
      <c r="G721" s="11" t="str">
        <f t="shared" si="76"/>
        <v/>
      </c>
      <c r="H721" s="11" t="str">
        <f t="shared" si="77"/>
        <v/>
      </c>
      <c r="I721" s="11">
        <f t="shared" si="78"/>
        <v>-10</v>
      </c>
      <c r="J721" s="11">
        <v>1</v>
      </c>
      <c r="K721" s="11">
        <f t="shared" si="79"/>
        <v>1</v>
      </c>
      <c r="L721" s="11" t="str">
        <f>'DA - 51'!H185</f>
        <v xml:space="preserve">Aerobar Bolts: Top 25mm; Bottom 15mm </v>
      </c>
    </row>
    <row r="722" spans="1:12" x14ac:dyDescent="0.25">
      <c r="A722" s="11">
        <f>'DA - 51'!C186</f>
        <v>480</v>
      </c>
      <c r="B722" s="11">
        <f>'DA - 51'!D186</f>
        <v>450</v>
      </c>
      <c r="C722" s="11">
        <f>'DA - 51'!E186</f>
        <v>530</v>
      </c>
      <c r="D722" s="11">
        <f>'DA - 51'!G186</f>
        <v>600</v>
      </c>
      <c r="E722" s="11" t="str">
        <f>'DA - 51'!B186</f>
        <v>Frame: 51 ----- Stem: 110x0  ----- Aluminium Aerobar + 30 + bridge</v>
      </c>
      <c r="F722" s="11">
        <f t="shared" si="75"/>
        <v>1</v>
      </c>
      <c r="G722" s="11">
        <f t="shared" si="76"/>
        <v>1</v>
      </c>
      <c r="H722" s="11" t="str">
        <f t="shared" si="77"/>
        <v/>
      </c>
      <c r="I722" s="11">
        <f t="shared" si="78"/>
        <v>-10</v>
      </c>
      <c r="J722" s="11">
        <v>1</v>
      </c>
      <c r="K722" s="11">
        <f t="shared" si="79"/>
        <v>1</v>
      </c>
      <c r="L722" s="11" t="str">
        <f>'DA - 51'!H186</f>
        <v xml:space="preserve">Aerobar Bolts: Top 30mm; Bottom 15mm </v>
      </c>
    </row>
    <row r="723" spans="1:12" x14ac:dyDescent="0.25">
      <c r="A723" s="11">
        <f>'DA - 51'!C187</f>
        <v>480</v>
      </c>
      <c r="B723" s="11">
        <f>'DA - 51'!D187</f>
        <v>450</v>
      </c>
      <c r="C723" s="11">
        <f>'DA - 51'!E187</f>
        <v>530</v>
      </c>
      <c r="D723" s="11">
        <f>'DA - 51'!G187</f>
        <v>605</v>
      </c>
      <c r="E723" s="11" t="str">
        <f>'DA - 51'!B187</f>
        <v>Frame: 51 ----- Stem: 110x0  ----- Aluminium Aerobar + 30 + bridge + 5</v>
      </c>
      <c r="F723" s="11">
        <f t="shared" si="75"/>
        <v>1</v>
      </c>
      <c r="G723" s="11">
        <f t="shared" si="76"/>
        <v>1</v>
      </c>
      <c r="H723" s="11" t="str">
        <f t="shared" si="77"/>
        <v/>
      </c>
      <c r="I723" s="11">
        <f t="shared" si="78"/>
        <v>-10</v>
      </c>
      <c r="J723" s="11">
        <v>1</v>
      </c>
      <c r="K723" s="11">
        <f t="shared" si="79"/>
        <v>1</v>
      </c>
      <c r="L723" s="11" t="str">
        <f>'DA - 51'!H187</f>
        <v xml:space="preserve">Aerobar Bolts: Top 30mm; Bottom 15mm </v>
      </c>
    </row>
    <row r="724" spans="1:12" x14ac:dyDescent="0.25">
      <c r="A724" s="11">
        <f>'DA - 51'!C188</f>
        <v>480</v>
      </c>
      <c r="B724" s="11">
        <f>'DA - 51'!D188</f>
        <v>450</v>
      </c>
      <c r="C724" s="11">
        <f>'DA - 51'!E188</f>
        <v>530</v>
      </c>
      <c r="D724" s="11">
        <f>'DA - 51'!G188</f>
        <v>610</v>
      </c>
      <c r="E724" s="11" t="str">
        <f>'DA - 51'!B188</f>
        <v>Frame: 51 ----- Stem: 110x0  ----- Aluminium Aerobar + 40 + bridge</v>
      </c>
      <c r="F724" s="11">
        <f t="shared" si="75"/>
        <v>1</v>
      </c>
      <c r="G724" s="11" t="str">
        <f t="shared" si="76"/>
        <v/>
      </c>
      <c r="H724" s="11">
        <f t="shared" si="77"/>
        <v>1</v>
      </c>
      <c r="I724" s="11">
        <f t="shared" si="78"/>
        <v>-10</v>
      </c>
      <c r="J724" s="11">
        <v>1</v>
      </c>
      <c r="K724" s="11">
        <f t="shared" si="79"/>
        <v>1</v>
      </c>
      <c r="L724" s="11" t="str">
        <f>'DA - 51'!H188</f>
        <v xml:space="preserve">Aerobar Bolts: Top 35mm; Bottom 15mm </v>
      </c>
    </row>
    <row r="725" spans="1:12" x14ac:dyDescent="0.25">
      <c r="A725" s="11">
        <f>'DA - 51'!C189</f>
        <v>480</v>
      </c>
      <c r="B725" s="11">
        <f>'DA - 51'!D189</f>
        <v>450</v>
      </c>
      <c r="C725" s="11">
        <f>'DA - 51'!E189</f>
        <v>530</v>
      </c>
      <c r="D725" s="11">
        <f>'DA - 51'!G189</f>
        <v>615</v>
      </c>
      <c r="E725" s="11" t="str">
        <f>'DA - 51'!B189</f>
        <v>Frame: 51 ----- Stem: 110x0  ----- Aluminium Aerobar + 40 + bridge + 5</v>
      </c>
      <c r="F725" s="11">
        <f t="shared" si="75"/>
        <v>1</v>
      </c>
      <c r="G725" s="11" t="str">
        <f t="shared" si="76"/>
        <v/>
      </c>
      <c r="H725" s="11">
        <f t="shared" si="77"/>
        <v>1</v>
      </c>
      <c r="I725" s="11">
        <f t="shared" si="78"/>
        <v>-10</v>
      </c>
      <c r="J725" s="11">
        <v>1</v>
      </c>
      <c r="K725" s="11">
        <f t="shared" si="79"/>
        <v>1</v>
      </c>
      <c r="L725" s="11" t="str">
        <f>'DA - 51'!H189</f>
        <v xml:space="preserve">Aerobar Bolts: Top 35mm; Bottom 15mm </v>
      </c>
    </row>
    <row r="726" spans="1:12" x14ac:dyDescent="0.25">
      <c r="A726" s="11">
        <f>'DA - 51'!C190</f>
        <v>480</v>
      </c>
      <c r="B726" s="11">
        <f>'DA - 51'!D190</f>
        <v>450</v>
      </c>
      <c r="C726" s="11">
        <f>'DA - 51'!E190</f>
        <v>530</v>
      </c>
      <c r="D726" s="11">
        <f>'DA - 51'!G190</f>
        <v>620</v>
      </c>
      <c r="E726" s="11" t="str">
        <f>'DA - 51'!B190</f>
        <v>Frame: 51 ----- Stem: 110x0  ----- Aluminium Aerobar + 40 + bridge + 10</v>
      </c>
      <c r="F726" s="11">
        <f t="shared" si="75"/>
        <v>1</v>
      </c>
      <c r="G726" s="11" t="str">
        <f t="shared" si="76"/>
        <v/>
      </c>
      <c r="H726" s="11">
        <f t="shared" si="77"/>
        <v>1</v>
      </c>
      <c r="I726" s="11">
        <f t="shared" si="78"/>
        <v>-10</v>
      </c>
      <c r="J726" s="11">
        <v>1</v>
      </c>
      <c r="K726" s="11">
        <f t="shared" si="79"/>
        <v>1</v>
      </c>
      <c r="L726" s="11" t="str">
        <f>'DA - 51'!H190</f>
        <v xml:space="preserve">Aerobar Bolts: Top 35mm; Bottom 15mm </v>
      </c>
    </row>
    <row r="727" spans="1:12" x14ac:dyDescent="0.25">
      <c r="A727" s="11">
        <f>'DA - 51'!C191</f>
        <v>480</v>
      </c>
      <c r="B727" s="11">
        <f>'DA - 51'!D191</f>
        <v>450</v>
      </c>
      <c r="C727" s="11">
        <f>'DA - 51'!E191</f>
        <v>530</v>
      </c>
      <c r="D727" s="11">
        <f>'DA - 51'!G191</f>
        <v>625</v>
      </c>
      <c r="E727" s="11" t="str">
        <f>'DA - 51'!B191</f>
        <v>Frame: 51 ----- Stem: 110x0  ----- Aluminium Aerobar + 40 + bridge + 10 + 5</v>
      </c>
      <c r="F727" s="11">
        <f t="shared" si="75"/>
        <v>1</v>
      </c>
      <c r="G727" s="11" t="str">
        <f t="shared" si="76"/>
        <v/>
      </c>
      <c r="H727" s="11">
        <f t="shared" si="77"/>
        <v>1</v>
      </c>
      <c r="I727" s="11">
        <f t="shared" si="78"/>
        <v>-10</v>
      </c>
      <c r="J727" s="11">
        <v>1</v>
      </c>
      <c r="K727" s="11">
        <f t="shared" si="79"/>
        <v>1</v>
      </c>
      <c r="L727" s="11" t="str">
        <f>'DA - 51'!H191</f>
        <v xml:space="preserve">Aerobar Bolts: Top 35mm; Bottom 25mm </v>
      </c>
    </row>
    <row r="728" spans="1:12" x14ac:dyDescent="0.25">
      <c r="A728" s="11">
        <f>'DA - 47'!C12</f>
        <v>425</v>
      </c>
      <c r="B728" s="11">
        <f>'DA - 47'!D12</f>
        <v>395</v>
      </c>
      <c r="C728" s="11">
        <f>'DA - 47'!E12</f>
        <v>475</v>
      </c>
      <c r="D728" s="11">
        <f>'DA - 47'!G12</f>
        <v>0</v>
      </c>
      <c r="E728" s="11" t="str">
        <f>'DA - 47'!B12</f>
        <v>Frame: 47 ----- Stem: 70x30  ----- Carbon Aerobar</v>
      </c>
      <c r="F728" s="11">
        <f t="shared" si="75"/>
        <v>1</v>
      </c>
      <c r="G728" s="11" t="str">
        <f t="shared" si="76"/>
        <v/>
      </c>
      <c r="H728" s="11" t="str">
        <f t="shared" si="77"/>
        <v/>
      </c>
      <c r="I728" s="11">
        <f t="shared" si="78"/>
        <v>45</v>
      </c>
      <c r="J728" s="11">
        <v>1</v>
      </c>
      <c r="K728" s="11">
        <f t="shared" si="79"/>
        <v>1</v>
      </c>
      <c r="L728" s="11" t="str">
        <f>'DA - 47'!H12</f>
        <v xml:space="preserve">Aerobar Bolts: Top N/A; Bottom N/A </v>
      </c>
    </row>
    <row r="729" spans="1:12" x14ac:dyDescent="0.25">
      <c r="A729" s="11">
        <f>'DA - 47'!C13</f>
        <v>425</v>
      </c>
      <c r="B729" s="11">
        <f>'DA - 47'!D13</f>
        <v>395</v>
      </c>
      <c r="C729" s="11">
        <f>'DA - 47'!E13</f>
        <v>475</v>
      </c>
      <c r="D729" s="11">
        <f>'DA - 47'!G13</f>
        <v>530</v>
      </c>
      <c r="E729" s="11" t="str">
        <f>'DA - 47'!B13</f>
        <v>Frame: 47 ----- Stem: 70x30  ----- Carbon Aerobar + 5</v>
      </c>
      <c r="F729" s="11">
        <f t="shared" si="75"/>
        <v>1</v>
      </c>
      <c r="G729" s="11" t="str">
        <f t="shared" si="76"/>
        <v/>
      </c>
      <c r="H729" s="11" t="str">
        <f t="shared" si="77"/>
        <v/>
      </c>
      <c r="I729" s="11">
        <f t="shared" si="78"/>
        <v>45</v>
      </c>
      <c r="J729" s="11">
        <v>1</v>
      </c>
      <c r="K729" s="11">
        <f t="shared" si="79"/>
        <v>1</v>
      </c>
      <c r="L729" s="11" t="str">
        <f>'DA - 47'!H13</f>
        <v xml:space="preserve">Aerobar Bolts: Top 45mm; Bottom N/A </v>
      </c>
    </row>
    <row r="730" spans="1:12" x14ac:dyDescent="0.25">
      <c r="A730" s="11">
        <f>'DA - 47'!C14</f>
        <v>425</v>
      </c>
      <c r="B730" s="11">
        <f>'DA - 47'!D14</f>
        <v>395</v>
      </c>
      <c r="C730" s="11">
        <f>'DA - 47'!E14</f>
        <v>475</v>
      </c>
      <c r="D730" s="11">
        <f>'DA - 47'!G14</f>
        <v>535</v>
      </c>
      <c r="E730" s="11" t="str">
        <f>'DA - 47'!B14</f>
        <v>Frame: 47 ----- Stem: 70x30  ----- Carbon Aerobar + 10</v>
      </c>
      <c r="F730" s="11">
        <f t="shared" si="75"/>
        <v>1</v>
      </c>
      <c r="G730" s="11" t="str">
        <f t="shared" si="76"/>
        <v/>
      </c>
      <c r="H730" s="11" t="str">
        <f t="shared" si="77"/>
        <v/>
      </c>
      <c r="I730" s="11">
        <f t="shared" si="78"/>
        <v>45</v>
      </c>
      <c r="J730" s="11">
        <v>1</v>
      </c>
      <c r="K730" s="11">
        <f t="shared" si="79"/>
        <v>1</v>
      </c>
      <c r="L730" s="11" t="str">
        <f>'DA - 47'!H14</f>
        <v xml:space="preserve">Aerobar Bolts: Top 50mm; Bottom N/A </v>
      </c>
    </row>
    <row r="731" spans="1:12" x14ac:dyDescent="0.25">
      <c r="A731" s="11">
        <f>'DA - 47'!C15</f>
        <v>425</v>
      </c>
      <c r="B731" s="11">
        <f>'DA - 47'!D15</f>
        <v>395</v>
      </c>
      <c r="C731" s="11">
        <f>'DA - 47'!E15</f>
        <v>475</v>
      </c>
      <c r="D731" s="11">
        <f>'DA - 47'!G15</f>
        <v>540</v>
      </c>
      <c r="E731" s="11" t="str">
        <f>'DA - 47'!B15</f>
        <v>Frame: 47 ----- Stem: 70x30  ----- Carbon Aerobar + 5 + 10</v>
      </c>
      <c r="F731" s="11">
        <f t="shared" si="75"/>
        <v>1</v>
      </c>
      <c r="G731" s="11" t="str">
        <f t="shared" si="76"/>
        <v/>
      </c>
      <c r="H731" s="11" t="str">
        <f t="shared" si="77"/>
        <v/>
      </c>
      <c r="I731" s="11">
        <f t="shared" si="78"/>
        <v>45</v>
      </c>
      <c r="J731" s="11">
        <v>1</v>
      </c>
      <c r="K731" s="11">
        <f t="shared" si="79"/>
        <v>1</v>
      </c>
      <c r="L731" s="11" t="str">
        <f>'DA - 47'!H15</f>
        <v xml:space="preserve">Aerobar Bolts: Top 55mm; Bottom N/A </v>
      </c>
    </row>
    <row r="732" spans="1:12" x14ac:dyDescent="0.25">
      <c r="A732" s="11">
        <f>'DA - 47'!C16</f>
        <v>425</v>
      </c>
      <c r="B732" s="11">
        <f>'DA - 47'!D16</f>
        <v>395</v>
      </c>
      <c r="C732" s="11">
        <f>'DA - 47'!E16</f>
        <v>475</v>
      </c>
      <c r="D732" s="11">
        <f>'DA - 47'!G16</f>
        <v>545</v>
      </c>
      <c r="E732" s="11" t="str">
        <f>'DA - 47'!B16</f>
        <v>Frame: 47 ----- Stem: 70x30  ----- Carbon Aerobar + 20</v>
      </c>
      <c r="F732" s="11">
        <f t="shared" si="75"/>
        <v>1</v>
      </c>
      <c r="G732" s="11" t="str">
        <f t="shared" si="76"/>
        <v/>
      </c>
      <c r="H732" s="11" t="str">
        <f t="shared" si="77"/>
        <v/>
      </c>
      <c r="I732" s="11">
        <f t="shared" si="78"/>
        <v>45</v>
      </c>
      <c r="J732" s="11">
        <v>1</v>
      </c>
      <c r="K732" s="11">
        <f t="shared" si="79"/>
        <v>1</v>
      </c>
      <c r="L732" s="11" t="str">
        <f>'DA - 47'!H16</f>
        <v xml:space="preserve">Aerobar Bolts: Top 20mm; Bottom 30mm </v>
      </c>
    </row>
    <row r="733" spans="1:12" x14ac:dyDescent="0.25">
      <c r="A733" s="11">
        <f>'DA - 47'!C17</f>
        <v>425</v>
      </c>
      <c r="B733" s="11">
        <f>'DA - 47'!D17</f>
        <v>395</v>
      </c>
      <c r="C733" s="11">
        <f>'DA - 47'!E17</f>
        <v>475</v>
      </c>
      <c r="D733" s="11">
        <f>'DA - 47'!G17</f>
        <v>550</v>
      </c>
      <c r="E733" s="11" t="str">
        <f>'DA - 47'!B17</f>
        <v>Frame: 47 ----- Stem: 70x30  ----- Carbon Aerobar + 20 + 5</v>
      </c>
      <c r="F733" s="11">
        <f t="shared" si="75"/>
        <v>1</v>
      </c>
      <c r="G733" s="11" t="str">
        <f t="shared" si="76"/>
        <v/>
      </c>
      <c r="H733" s="11" t="str">
        <f t="shared" si="77"/>
        <v/>
      </c>
      <c r="I733" s="11">
        <f t="shared" si="78"/>
        <v>45</v>
      </c>
      <c r="J733" s="11">
        <v>1</v>
      </c>
      <c r="K733" s="11">
        <f t="shared" si="79"/>
        <v>1</v>
      </c>
      <c r="L733" s="11" t="str">
        <f>'DA - 47'!H17</f>
        <v xml:space="preserve">Aerobar Bolts: Top 25mm; Bottom 30mm </v>
      </c>
    </row>
    <row r="734" spans="1:12" x14ac:dyDescent="0.25">
      <c r="A734" s="11">
        <f>'DA - 47'!C18</f>
        <v>425</v>
      </c>
      <c r="B734" s="11">
        <f>'DA - 47'!D18</f>
        <v>395</v>
      </c>
      <c r="C734" s="11">
        <f>'DA - 47'!E18</f>
        <v>475</v>
      </c>
      <c r="D734" s="11">
        <f>'DA - 47'!G18</f>
        <v>550</v>
      </c>
      <c r="E734" s="11" t="str">
        <f>'DA - 47'!B18</f>
        <v>Frame: 47 ----- Stem: 70x30  ----- Carbon Aerobar + 20 + bridge</v>
      </c>
      <c r="F734" s="11">
        <f t="shared" si="75"/>
        <v>1</v>
      </c>
      <c r="G734" s="11" t="str">
        <f t="shared" si="76"/>
        <v/>
      </c>
      <c r="H734" s="11" t="str">
        <f t="shared" si="77"/>
        <v/>
      </c>
      <c r="I734" s="11">
        <f t="shared" si="78"/>
        <v>45</v>
      </c>
      <c r="J734" s="11">
        <v>1</v>
      </c>
      <c r="K734" s="11">
        <f t="shared" si="79"/>
        <v>1</v>
      </c>
      <c r="L734" s="11" t="str">
        <f>'DA - 47'!H18</f>
        <v xml:space="preserve">Aerobar Bolts: Top 25mm; Bottom 30mm </v>
      </c>
    </row>
    <row r="735" spans="1:12" x14ac:dyDescent="0.25">
      <c r="A735" s="11">
        <f>'DA - 47'!C19</f>
        <v>425</v>
      </c>
      <c r="B735" s="11">
        <f>'DA - 47'!D19</f>
        <v>395</v>
      </c>
      <c r="C735" s="11">
        <f>'DA - 47'!E19</f>
        <v>475</v>
      </c>
      <c r="D735" s="11">
        <f>'DA - 47'!G19</f>
        <v>555</v>
      </c>
      <c r="E735" s="11" t="str">
        <f>'DA - 47'!B19</f>
        <v>Frame: 47 ----- Stem: 70x30  ----- Carbon Aerobar + 30</v>
      </c>
      <c r="F735" s="11">
        <f t="shared" si="75"/>
        <v>1</v>
      </c>
      <c r="G735" s="11">
        <f t="shared" si="76"/>
        <v>1</v>
      </c>
      <c r="H735" s="11" t="str">
        <f t="shared" si="77"/>
        <v/>
      </c>
      <c r="I735" s="11">
        <f t="shared" si="78"/>
        <v>45</v>
      </c>
      <c r="J735" s="11">
        <v>1</v>
      </c>
      <c r="K735" s="11">
        <f t="shared" si="79"/>
        <v>1</v>
      </c>
      <c r="L735" s="11" t="str">
        <f>'DA - 47'!H19</f>
        <v xml:space="preserve">Aerobar Bolts: Top 25mm; Bottom 30mm </v>
      </c>
    </row>
    <row r="736" spans="1:12" x14ac:dyDescent="0.25">
      <c r="A736" s="11">
        <f>'DA - 47'!C20</f>
        <v>425</v>
      </c>
      <c r="B736" s="11">
        <f>'DA - 47'!D20</f>
        <v>395</v>
      </c>
      <c r="C736" s="11">
        <f>'DA - 47'!E20</f>
        <v>475</v>
      </c>
      <c r="D736" s="11">
        <f>'DA - 47'!G20</f>
        <v>555</v>
      </c>
      <c r="E736" s="11" t="str">
        <f>'DA - 47'!B20</f>
        <v>Frame: 47 ----- Stem: 70x30  ----- Carbon Aerobar + 20 + bridge + 5</v>
      </c>
      <c r="F736" s="11">
        <f t="shared" si="75"/>
        <v>1</v>
      </c>
      <c r="G736" s="11" t="str">
        <f t="shared" si="76"/>
        <v/>
      </c>
      <c r="H736" s="11" t="str">
        <f t="shared" si="77"/>
        <v/>
      </c>
      <c r="I736" s="11">
        <f t="shared" si="78"/>
        <v>45</v>
      </c>
      <c r="J736" s="11">
        <v>1</v>
      </c>
      <c r="K736" s="11">
        <f t="shared" si="79"/>
        <v>1</v>
      </c>
      <c r="L736" s="11" t="str">
        <f>'DA - 47'!H20</f>
        <v xml:space="preserve">Aerobar Bolts: Top 30mm; Bottom 30mm </v>
      </c>
    </row>
    <row r="737" spans="1:12" x14ac:dyDescent="0.25">
      <c r="A737" s="11">
        <f>'DA - 47'!C21</f>
        <v>425</v>
      </c>
      <c r="B737" s="11">
        <f>'DA - 47'!D21</f>
        <v>395</v>
      </c>
      <c r="C737" s="11">
        <f>'DA - 47'!E21</f>
        <v>475</v>
      </c>
      <c r="D737" s="11">
        <f>'DA - 47'!G21</f>
        <v>560</v>
      </c>
      <c r="E737" s="11" t="str">
        <f>'DA - 47'!B21</f>
        <v>Frame: 47 ----- Stem: 70x30  ----- Carbon Aerobar + 30 + bridge</v>
      </c>
      <c r="F737" s="11">
        <f t="shared" si="75"/>
        <v>1</v>
      </c>
      <c r="G737" s="11">
        <f t="shared" si="76"/>
        <v>1</v>
      </c>
      <c r="H737" s="11" t="str">
        <f t="shared" si="77"/>
        <v/>
      </c>
      <c r="I737" s="11">
        <f t="shared" si="78"/>
        <v>45</v>
      </c>
      <c r="J737" s="11">
        <v>1</v>
      </c>
      <c r="K737" s="11">
        <f t="shared" si="79"/>
        <v>1</v>
      </c>
      <c r="L737" s="11" t="str">
        <f>'DA - 47'!H21</f>
        <v xml:space="preserve">Aerobar Bolts: Top 30mm; Bottom 30mm </v>
      </c>
    </row>
    <row r="738" spans="1:12" x14ac:dyDescent="0.25">
      <c r="A738" s="11">
        <f>'DA - 47'!C22</f>
        <v>425</v>
      </c>
      <c r="B738" s="11">
        <f>'DA - 47'!D22</f>
        <v>395</v>
      </c>
      <c r="C738" s="11">
        <f>'DA - 47'!E22</f>
        <v>475</v>
      </c>
      <c r="D738" s="11">
        <f>'DA - 47'!G22</f>
        <v>565</v>
      </c>
      <c r="E738" s="11" t="str">
        <f>'DA - 47'!B22</f>
        <v>Frame: 47 ----- Stem: 70x30  ----- Carbon Aerobar + 30 + bridge + 5</v>
      </c>
      <c r="F738" s="11">
        <f t="shared" si="75"/>
        <v>1</v>
      </c>
      <c r="G738" s="11">
        <f t="shared" si="76"/>
        <v>1</v>
      </c>
      <c r="H738" s="11" t="str">
        <f t="shared" si="77"/>
        <v/>
      </c>
      <c r="I738" s="11">
        <f t="shared" si="78"/>
        <v>45</v>
      </c>
      <c r="J738" s="11">
        <v>1</v>
      </c>
      <c r="K738" s="11">
        <f t="shared" si="79"/>
        <v>1</v>
      </c>
      <c r="L738" s="11" t="str">
        <f>'DA - 47'!H22</f>
        <v xml:space="preserve">Aerobar Bolts: Top 35mm; Bottom 30mm </v>
      </c>
    </row>
    <row r="739" spans="1:12" x14ac:dyDescent="0.25">
      <c r="A739" s="11">
        <f>'DA - 47'!C23</f>
        <v>425</v>
      </c>
      <c r="B739" s="11">
        <f>'DA - 47'!D23</f>
        <v>395</v>
      </c>
      <c r="C739" s="11">
        <f>'DA - 47'!E23</f>
        <v>475</v>
      </c>
      <c r="D739" s="11">
        <f>'DA - 47'!G23</f>
        <v>570</v>
      </c>
      <c r="E739" s="11" t="str">
        <f>'DA - 47'!B23</f>
        <v>Frame: 47 ----- Stem: 70x30  ----- Carbon Aerobar + 40 + bridge</v>
      </c>
      <c r="F739" s="11">
        <f t="shared" si="75"/>
        <v>1</v>
      </c>
      <c r="G739" s="11" t="str">
        <f t="shared" si="76"/>
        <v/>
      </c>
      <c r="H739" s="11">
        <f t="shared" si="77"/>
        <v>1</v>
      </c>
      <c r="I739" s="11">
        <f t="shared" si="78"/>
        <v>45</v>
      </c>
      <c r="J739" s="11">
        <v>1</v>
      </c>
      <c r="K739" s="11">
        <f t="shared" si="79"/>
        <v>1</v>
      </c>
      <c r="L739" s="11" t="str">
        <f>'DA - 47'!H23</f>
        <v xml:space="preserve">Aerobar Bolts: Top 35mm; Bottom 30mm </v>
      </c>
    </row>
    <row r="740" spans="1:12" x14ac:dyDescent="0.25">
      <c r="A740" s="11">
        <f>'DA - 47'!C24</f>
        <v>425</v>
      </c>
      <c r="B740" s="11">
        <f>'DA - 47'!D24</f>
        <v>395</v>
      </c>
      <c r="C740" s="11">
        <f>'DA - 47'!E24</f>
        <v>475</v>
      </c>
      <c r="D740" s="11">
        <f>'DA - 47'!G24</f>
        <v>575</v>
      </c>
      <c r="E740" s="11" t="str">
        <f>'DA - 47'!B24</f>
        <v>Frame: 47 ----- Stem: 70x30  ----- Carbon Aerobar + 40 + bridge + 5</v>
      </c>
      <c r="F740" s="11">
        <f t="shared" si="75"/>
        <v>1</v>
      </c>
      <c r="G740" s="11" t="str">
        <f t="shared" si="76"/>
        <v/>
      </c>
      <c r="H740" s="11">
        <f t="shared" si="77"/>
        <v>1</v>
      </c>
      <c r="I740" s="11">
        <f t="shared" si="78"/>
        <v>45</v>
      </c>
      <c r="J740" s="11">
        <v>1</v>
      </c>
      <c r="K740" s="11">
        <f t="shared" si="79"/>
        <v>1</v>
      </c>
      <c r="L740" s="11" t="str">
        <f>'DA - 47'!H24</f>
        <v xml:space="preserve">Aerobar Bolts: Top 35mm; Bottom 30mm </v>
      </c>
    </row>
    <row r="741" spans="1:12" x14ac:dyDescent="0.25">
      <c r="A741" s="11">
        <f>'DA - 47'!C25</f>
        <v>425</v>
      </c>
      <c r="B741" s="11">
        <f>'DA - 47'!D25</f>
        <v>395</v>
      </c>
      <c r="C741" s="11">
        <f>'DA - 47'!E25</f>
        <v>475</v>
      </c>
      <c r="D741" s="11">
        <f>'DA - 47'!G25</f>
        <v>580</v>
      </c>
      <c r="E741" s="11" t="str">
        <f>'DA - 47'!B25</f>
        <v>Frame: 47 ----- Stem: 70x30  ----- Carbon Aerobar + 40 + bridge + 10</v>
      </c>
      <c r="F741" s="11">
        <f t="shared" si="75"/>
        <v>1</v>
      </c>
      <c r="G741" s="11" t="str">
        <f t="shared" si="76"/>
        <v/>
      </c>
      <c r="H741" s="11">
        <f t="shared" si="77"/>
        <v>1</v>
      </c>
      <c r="I741" s="11">
        <f t="shared" si="78"/>
        <v>45</v>
      </c>
      <c r="J741" s="11">
        <v>1</v>
      </c>
      <c r="K741" s="11">
        <f t="shared" si="79"/>
        <v>1</v>
      </c>
      <c r="L741" s="11" t="str">
        <f>'DA - 47'!H25</f>
        <v xml:space="preserve">Aerobar Bolts: Top 40mm; Bottom 30mm </v>
      </c>
    </row>
    <row r="742" spans="1:12" x14ac:dyDescent="0.25">
      <c r="A742" s="11">
        <f>'DA - 47'!C26</f>
        <v>425</v>
      </c>
      <c r="B742" s="11">
        <f>'DA - 47'!D26</f>
        <v>395</v>
      </c>
      <c r="C742" s="11">
        <f>'DA - 47'!E26</f>
        <v>475</v>
      </c>
      <c r="D742" s="11">
        <f>'DA - 47'!G26</f>
        <v>585</v>
      </c>
      <c r="E742" s="11" t="str">
        <f>'DA - 47'!B26</f>
        <v>Frame: 47 ----- Stem: 70x30  ----- Carbon Aerobar + 40 + bridge + 10 + 5</v>
      </c>
      <c r="F742" s="11">
        <f t="shared" si="75"/>
        <v>1</v>
      </c>
      <c r="G742" s="11" t="str">
        <f t="shared" si="76"/>
        <v/>
      </c>
      <c r="H742" s="11">
        <f t="shared" si="77"/>
        <v>1</v>
      </c>
      <c r="I742" s="11">
        <f t="shared" si="78"/>
        <v>45</v>
      </c>
      <c r="J742" s="11">
        <v>1</v>
      </c>
      <c r="K742" s="11">
        <f t="shared" si="79"/>
        <v>1</v>
      </c>
      <c r="L742" s="11" t="str">
        <f>'DA - 47'!H26</f>
        <v xml:space="preserve">Aerobar Bolts: Top 45mm; Bottom 30mm </v>
      </c>
    </row>
    <row r="743" spans="1:12" x14ac:dyDescent="0.25">
      <c r="A743" s="11">
        <f>'DA - 47'!C27</f>
        <v>415</v>
      </c>
      <c r="B743" s="11">
        <f>'DA - 47'!D27</f>
        <v>385</v>
      </c>
      <c r="C743" s="11">
        <f>'DA - 47'!E27</f>
        <v>465</v>
      </c>
      <c r="D743" s="11">
        <f>'DA - 47'!G27</f>
        <v>0</v>
      </c>
      <c r="E743" s="11" t="str">
        <f>'DA - 47'!B27</f>
        <v>Frame: 47 ----- Stem: 70x60  ----- Carbon Aerobar</v>
      </c>
      <c r="F743" s="11" t="str">
        <f t="shared" si="75"/>
        <v/>
      </c>
      <c r="G743" s="11" t="str">
        <f t="shared" si="76"/>
        <v/>
      </c>
      <c r="H743" s="11" t="str">
        <f t="shared" si="77"/>
        <v/>
      </c>
      <c r="I743" s="11">
        <f t="shared" si="78"/>
        <v>55</v>
      </c>
      <c r="J743" s="11">
        <v>1</v>
      </c>
      <c r="K743" s="11">
        <f t="shared" si="79"/>
        <v>1</v>
      </c>
      <c r="L743" s="11" t="str">
        <f>'DA - 47'!H27</f>
        <v xml:space="preserve">Aerobar Bolts: Top N/A; Bottom N/A </v>
      </c>
    </row>
    <row r="744" spans="1:12" x14ac:dyDescent="0.25">
      <c r="A744" s="11">
        <f>'DA - 47'!C28</f>
        <v>415</v>
      </c>
      <c r="B744" s="11">
        <f>'DA - 47'!D28</f>
        <v>385</v>
      </c>
      <c r="C744" s="11">
        <f>'DA - 47'!E28</f>
        <v>465</v>
      </c>
      <c r="D744" s="11">
        <f>'DA - 47'!G28</f>
        <v>560</v>
      </c>
      <c r="E744" s="11" t="str">
        <f>'DA - 47'!B28</f>
        <v>Frame: 47 ----- Stem: 70x60  ----- Carbon Aerobar + 5</v>
      </c>
      <c r="F744" s="11" t="str">
        <f t="shared" si="75"/>
        <v/>
      </c>
      <c r="G744" s="11" t="str">
        <f t="shared" si="76"/>
        <v/>
      </c>
      <c r="H744" s="11" t="str">
        <f t="shared" si="77"/>
        <v/>
      </c>
      <c r="I744" s="11">
        <f t="shared" si="78"/>
        <v>55</v>
      </c>
      <c r="J744" s="11">
        <v>1</v>
      </c>
      <c r="K744" s="11">
        <f t="shared" si="79"/>
        <v>1</v>
      </c>
      <c r="L744" s="11" t="str">
        <f>'DA - 47'!H28</f>
        <v xml:space="preserve">Aerobar Bolts: Top 45mm; Bottom N/A </v>
      </c>
    </row>
    <row r="745" spans="1:12" x14ac:dyDescent="0.25">
      <c r="A745" s="11">
        <f>'DA - 47'!C29</f>
        <v>415</v>
      </c>
      <c r="B745" s="11">
        <f>'DA - 47'!D29</f>
        <v>385</v>
      </c>
      <c r="C745" s="11">
        <f>'DA - 47'!E29</f>
        <v>465</v>
      </c>
      <c r="D745" s="11">
        <f>'DA - 47'!G29</f>
        <v>565</v>
      </c>
      <c r="E745" s="11" t="str">
        <f>'DA - 47'!B29</f>
        <v>Frame: 47 ----- Stem: 70x60  ----- Carbon Aerobar + 10</v>
      </c>
      <c r="F745" s="11" t="str">
        <f t="shared" si="75"/>
        <v/>
      </c>
      <c r="G745" s="11" t="str">
        <f t="shared" si="76"/>
        <v/>
      </c>
      <c r="H745" s="11" t="str">
        <f t="shared" si="77"/>
        <v/>
      </c>
      <c r="I745" s="11">
        <f t="shared" si="78"/>
        <v>55</v>
      </c>
      <c r="J745" s="11">
        <v>1</v>
      </c>
      <c r="K745" s="11">
        <f t="shared" si="79"/>
        <v>1</v>
      </c>
      <c r="L745" s="11" t="str">
        <f>'DA - 47'!H29</f>
        <v xml:space="preserve">Aerobar Bolts: Top 50mm; Bottom N/A </v>
      </c>
    </row>
    <row r="746" spans="1:12" x14ac:dyDescent="0.25">
      <c r="A746" s="11">
        <f>'DA - 47'!C30</f>
        <v>415</v>
      </c>
      <c r="B746" s="11">
        <f>'DA - 47'!D30</f>
        <v>385</v>
      </c>
      <c r="C746" s="11">
        <f>'DA - 47'!E30</f>
        <v>465</v>
      </c>
      <c r="D746" s="11">
        <f>'DA - 47'!G30</f>
        <v>570</v>
      </c>
      <c r="E746" s="11" t="str">
        <f>'DA - 47'!B30</f>
        <v>Frame: 47 ----- Stem: 70x60  ----- Carbon Aerobar + 5 + 10</v>
      </c>
      <c r="F746" s="11" t="str">
        <f t="shared" si="75"/>
        <v/>
      </c>
      <c r="G746" s="11" t="str">
        <f t="shared" si="76"/>
        <v/>
      </c>
      <c r="H746" s="11" t="str">
        <f t="shared" si="77"/>
        <v/>
      </c>
      <c r="I746" s="11">
        <f t="shared" si="78"/>
        <v>55</v>
      </c>
      <c r="J746" s="11">
        <v>1</v>
      </c>
      <c r="K746" s="11">
        <f t="shared" si="79"/>
        <v>1</v>
      </c>
      <c r="L746" s="11" t="str">
        <f>'DA - 47'!H30</f>
        <v xml:space="preserve">Aerobar Bolts: Top 55mm; Bottom N/A </v>
      </c>
    </row>
    <row r="747" spans="1:12" x14ac:dyDescent="0.25">
      <c r="A747" s="11">
        <f>'DA - 47'!C31</f>
        <v>415</v>
      </c>
      <c r="B747" s="11">
        <f>'DA - 47'!D31</f>
        <v>385</v>
      </c>
      <c r="C747" s="11">
        <f>'DA - 47'!E31</f>
        <v>465</v>
      </c>
      <c r="D747" s="11">
        <f>'DA - 47'!G31</f>
        <v>575</v>
      </c>
      <c r="E747" s="11" t="str">
        <f>'DA - 47'!B31</f>
        <v>Frame: 47 ----- Stem: 70x60  ----- Carbon Aerobar + 20</v>
      </c>
      <c r="F747" s="11" t="str">
        <f t="shared" si="75"/>
        <v/>
      </c>
      <c r="G747" s="11" t="str">
        <f t="shared" si="76"/>
        <v/>
      </c>
      <c r="H747" s="11" t="str">
        <f t="shared" si="77"/>
        <v/>
      </c>
      <c r="I747" s="11">
        <f t="shared" si="78"/>
        <v>55</v>
      </c>
      <c r="J747" s="11">
        <v>1</v>
      </c>
      <c r="K747" s="11">
        <f t="shared" si="79"/>
        <v>1</v>
      </c>
      <c r="L747" s="11" t="str">
        <f>'DA - 47'!H31</f>
        <v xml:space="preserve">Aerobar Bolts: Top 20mm; Bottom 30mm </v>
      </c>
    </row>
    <row r="748" spans="1:12" x14ac:dyDescent="0.25">
      <c r="A748" s="11">
        <f>'DA - 47'!C32</f>
        <v>415</v>
      </c>
      <c r="B748" s="11">
        <f>'DA - 47'!D32</f>
        <v>385</v>
      </c>
      <c r="C748" s="11">
        <f>'DA - 47'!E32</f>
        <v>465</v>
      </c>
      <c r="D748" s="11">
        <f>'DA - 47'!G32</f>
        <v>580</v>
      </c>
      <c r="E748" s="11" t="str">
        <f>'DA - 47'!B32</f>
        <v>Frame: 47 ----- Stem: 70x60  ----- Carbon Aerobar + 20 + 5</v>
      </c>
      <c r="F748" s="11" t="str">
        <f t="shared" si="75"/>
        <v/>
      </c>
      <c r="G748" s="11" t="str">
        <f t="shared" si="76"/>
        <v/>
      </c>
      <c r="H748" s="11" t="str">
        <f t="shared" si="77"/>
        <v/>
      </c>
      <c r="I748" s="11">
        <f t="shared" si="78"/>
        <v>55</v>
      </c>
      <c r="J748" s="11">
        <v>1</v>
      </c>
      <c r="K748" s="11">
        <f t="shared" si="79"/>
        <v>1</v>
      </c>
      <c r="L748" s="11" t="str">
        <f>'DA - 47'!H32</f>
        <v xml:space="preserve">Aerobar Bolts: Top 25mm; Bottom 30mm </v>
      </c>
    </row>
    <row r="749" spans="1:12" x14ac:dyDescent="0.25">
      <c r="A749" s="11">
        <f>'DA - 47'!C33</f>
        <v>415</v>
      </c>
      <c r="B749" s="11">
        <f>'DA - 47'!D33</f>
        <v>385</v>
      </c>
      <c r="C749" s="11">
        <f>'DA - 47'!E33</f>
        <v>465</v>
      </c>
      <c r="D749" s="11">
        <f>'DA - 47'!G33</f>
        <v>580</v>
      </c>
      <c r="E749" s="11" t="str">
        <f>'DA - 47'!B33</f>
        <v>Frame: 47 ----- Stem: 70x60  ----- Carbon Aerobar + 20 + bridge</v>
      </c>
      <c r="F749" s="11" t="str">
        <f t="shared" si="75"/>
        <v/>
      </c>
      <c r="G749" s="11" t="str">
        <f t="shared" si="76"/>
        <v/>
      </c>
      <c r="H749" s="11" t="str">
        <f t="shared" si="77"/>
        <v/>
      </c>
      <c r="I749" s="11">
        <f t="shared" si="78"/>
        <v>55</v>
      </c>
      <c r="J749" s="11">
        <v>1</v>
      </c>
      <c r="K749" s="11">
        <f t="shared" si="79"/>
        <v>1</v>
      </c>
      <c r="L749" s="11" t="str">
        <f>'DA - 47'!H33</f>
        <v xml:space="preserve">Aerobar Bolts: Top 25mm; Bottom 30mm </v>
      </c>
    </row>
    <row r="750" spans="1:12" x14ac:dyDescent="0.25">
      <c r="A750" s="11">
        <f>'DA - 47'!C34</f>
        <v>415</v>
      </c>
      <c r="B750" s="11">
        <f>'DA - 47'!D34</f>
        <v>385</v>
      </c>
      <c r="C750" s="11">
        <f>'DA - 47'!E34</f>
        <v>465</v>
      </c>
      <c r="D750" s="11">
        <f>'DA - 47'!G34</f>
        <v>585</v>
      </c>
      <c r="E750" s="11" t="str">
        <f>'DA - 47'!B34</f>
        <v>Frame: 47 ----- Stem: 70x60  ----- Carbon Aerobar + 30</v>
      </c>
      <c r="F750" s="11" t="str">
        <f t="shared" si="75"/>
        <v/>
      </c>
      <c r="G750" s="11">
        <f t="shared" si="76"/>
        <v>1</v>
      </c>
      <c r="H750" s="11" t="str">
        <f t="shared" si="77"/>
        <v/>
      </c>
      <c r="I750" s="11">
        <f t="shared" si="78"/>
        <v>55</v>
      </c>
      <c r="J750" s="11">
        <v>1</v>
      </c>
      <c r="K750" s="11">
        <f t="shared" si="79"/>
        <v>1</v>
      </c>
      <c r="L750" s="11" t="str">
        <f>'DA - 47'!H34</f>
        <v xml:space="preserve">Aerobar Bolts: Top 25mm; Bottom 30mm </v>
      </c>
    </row>
    <row r="751" spans="1:12" x14ac:dyDescent="0.25">
      <c r="A751" s="11">
        <f>'DA - 47'!C35</f>
        <v>415</v>
      </c>
      <c r="B751" s="11">
        <f>'DA - 47'!D35</f>
        <v>385</v>
      </c>
      <c r="C751" s="11">
        <f>'DA - 47'!E35</f>
        <v>465</v>
      </c>
      <c r="D751" s="11">
        <f>'DA - 47'!G35</f>
        <v>585</v>
      </c>
      <c r="E751" s="11" t="str">
        <f>'DA - 47'!B35</f>
        <v>Frame: 47 ----- Stem: 70x60  ----- Carbon Aerobar + 20 + bridge + 5</v>
      </c>
      <c r="F751" s="11" t="str">
        <f t="shared" si="75"/>
        <v/>
      </c>
      <c r="G751" s="11" t="str">
        <f t="shared" si="76"/>
        <v/>
      </c>
      <c r="H751" s="11" t="str">
        <f t="shared" si="77"/>
        <v/>
      </c>
      <c r="I751" s="11">
        <f t="shared" si="78"/>
        <v>55</v>
      </c>
      <c r="J751" s="11">
        <v>1</v>
      </c>
      <c r="K751" s="11">
        <f t="shared" si="79"/>
        <v>1</v>
      </c>
      <c r="L751" s="11" t="str">
        <f>'DA - 47'!H35</f>
        <v xml:space="preserve">Aerobar Bolts: Top 30mm; Bottom 30mm </v>
      </c>
    </row>
    <row r="752" spans="1:12" x14ac:dyDescent="0.25">
      <c r="A752" s="11">
        <f>'DA - 47'!C36</f>
        <v>415</v>
      </c>
      <c r="B752" s="11">
        <f>'DA - 47'!D36</f>
        <v>385</v>
      </c>
      <c r="C752" s="11">
        <f>'DA - 47'!E36</f>
        <v>465</v>
      </c>
      <c r="D752" s="11">
        <f>'DA - 47'!G36</f>
        <v>590</v>
      </c>
      <c r="E752" s="11" t="str">
        <f>'DA - 47'!B36</f>
        <v>Frame: 47 ----- Stem: 70x60  ----- Carbon Aerobar + 30 + bridge</v>
      </c>
      <c r="F752" s="11" t="str">
        <f t="shared" si="75"/>
        <v/>
      </c>
      <c r="G752" s="11">
        <f t="shared" si="76"/>
        <v>1</v>
      </c>
      <c r="H752" s="11" t="str">
        <f t="shared" si="77"/>
        <v/>
      </c>
      <c r="I752" s="11">
        <f t="shared" si="78"/>
        <v>55</v>
      </c>
      <c r="J752" s="11">
        <v>1</v>
      </c>
      <c r="K752" s="11">
        <f t="shared" si="79"/>
        <v>1</v>
      </c>
      <c r="L752" s="11" t="str">
        <f>'DA - 47'!H36</f>
        <v xml:space="preserve">Aerobar Bolts: Top 30mm; Bottom 30mm </v>
      </c>
    </row>
    <row r="753" spans="1:12" x14ac:dyDescent="0.25">
      <c r="A753" s="11">
        <f>'DA - 47'!C37</f>
        <v>415</v>
      </c>
      <c r="B753" s="11">
        <f>'DA - 47'!D37</f>
        <v>385</v>
      </c>
      <c r="C753" s="11">
        <f>'DA - 47'!E37</f>
        <v>465</v>
      </c>
      <c r="D753" s="11">
        <f>'DA - 47'!G37</f>
        <v>595</v>
      </c>
      <c r="E753" s="11" t="str">
        <f>'DA - 47'!B37</f>
        <v>Frame: 47 ----- Stem: 70x60  ----- Carbon Aerobar + 30 + bridge + 5</v>
      </c>
      <c r="F753" s="11" t="str">
        <f t="shared" si="75"/>
        <v/>
      </c>
      <c r="G753" s="11">
        <f t="shared" si="76"/>
        <v>1</v>
      </c>
      <c r="H753" s="11" t="str">
        <f t="shared" si="77"/>
        <v/>
      </c>
      <c r="I753" s="11">
        <f t="shared" si="78"/>
        <v>55</v>
      </c>
      <c r="J753" s="11">
        <v>1</v>
      </c>
      <c r="K753" s="11">
        <f t="shared" si="79"/>
        <v>1</v>
      </c>
      <c r="L753" s="11" t="str">
        <f>'DA - 47'!H37</f>
        <v xml:space="preserve">Aerobar Bolts: Top 35mm; Bottom 30mm </v>
      </c>
    </row>
    <row r="754" spans="1:12" x14ac:dyDescent="0.25">
      <c r="A754" s="11">
        <f>'DA - 47'!C38</f>
        <v>415</v>
      </c>
      <c r="B754" s="11">
        <f>'DA - 47'!D38</f>
        <v>385</v>
      </c>
      <c r="C754" s="11">
        <f>'DA - 47'!E38</f>
        <v>465</v>
      </c>
      <c r="D754" s="11">
        <f>'DA - 47'!G38</f>
        <v>600</v>
      </c>
      <c r="E754" s="11" t="str">
        <f>'DA - 47'!B38</f>
        <v>Frame: 47 ----- Stem: 70x60  ----- Carbon Aerobar + 40 + bridge</v>
      </c>
      <c r="F754" s="11" t="str">
        <f t="shared" si="75"/>
        <v/>
      </c>
      <c r="G754" s="11" t="str">
        <f t="shared" si="76"/>
        <v/>
      </c>
      <c r="H754" s="11">
        <f t="shared" si="77"/>
        <v>1</v>
      </c>
      <c r="I754" s="11">
        <f t="shared" si="78"/>
        <v>55</v>
      </c>
      <c r="J754" s="11">
        <v>1</v>
      </c>
      <c r="K754" s="11">
        <f t="shared" si="79"/>
        <v>1</v>
      </c>
      <c r="L754" s="11" t="str">
        <f>'DA - 47'!H38</f>
        <v xml:space="preserve">Aerobar Bolts: Top 35mm; Bottom 30mm </v>
      </c>
    </row>
    <row r="755" spans="1:12" x14ac:dyDescent="0.25">
      <c r="A755" s="11">
        <f>'DA - 47'!C39</f>
        <v>415</v>
      </c>
      <c r="B755" s="11">
        <f>'DA - 47'!D39</f>
        <v>385</v>
      </c>
      <c r="C755" s="11">
        <f>'DA - 47'!E39</f>
        <v>465</v>
      </c>
      <c r="D755" s="11">
        <f>'DA - 47'!G39</f>
        <v>605</v>
      </c>
      <c r="E755" s="11" t="str">
        <f>'DA - 47'!B39</f>
        <v>Frame: 47 ----- Stem: 70x60  ----- Carbon Aerobar + 40 + bridge + 5</v>
      </c>
      <c r="F755" s="11" t="str">
        <f t="shared" si="75"/>
        <v/>
      </c>
      <c r="G755" s="11" t="str">
        <f t="shared" si="76"/>
        <v/>
      </c>
      <c r="H755" s="11">
        <f t="shared" si="77"/>
        <v>1</v>
      </c>
      <c r="I755" s="11">
        <f t="shared" si="78"/>
        <v>55</v>
      </c>
      <c r="J755" s="11">
        <v>1</v>
      </c>
      <c r="K755" s="11">
        <f t="shared" si="79"/>
        <v>1</v>
      </c>
      <c r="L755" s="11" t="str">
        <f>'DA - 47'!H39</f>
        <v xml:space="preserve">Aerobar Bolts: Top 35mm; Bottom 30mm </v>
      </c>
    </row>
    <row r="756" spans="1:12" x14ac:dyDescent="0.25">
      <c r="A756" s="11">
        <f>'DA - 47'!C40</f>
        <v>415</v>
      </c>
      <c r="B756" s="11">
        <f>'DA - 47'!D40</f>
        <v>385</v>
      </c>
      <c r="C756" s="11">
        <f>'DA - 47'!E40</f>
        <v>465</v>
      </c>
      <c r="D756" s="11">
        <f>'DA - 47'!G40</f>
        <v>610</v>
      </c>
      <c r="E756" s="11" t="str">
        <f>'DA - 47'!B40</f>
        <v>Frame: 47 ----- Stem: 70x60  ----- Carbon Aerobar + 40 + bridge + 10</v>
      </c>
      <c r="F756" s="11" t="str">
        <f t="shared" si="75"/>
        <v/>
      </c>
      <c r="G756" s="11" t="str">
        <f t="shared" si="76"/>
        <v/>
      </c>
      <c r="H756" s="11">
        <f t="shared" si="77"/>
        <v>1</v>
      </c>
      <c r="I756" s="11">
        <f t="shared" si="78"/>
        <v>55</v>
      </c>
      <c r="J756" s="11">
        <v>1</v>
      </c>
      <c r="K756" s="11">
        <f t="shared" si="79"/>
        <v>1</v>
      </c>
      <c r="L756" s="11" t="str">
        <f>'DA - 47'!H40</f>
        <v xml:space="preserve">Aerobar Bolts: Top 40mm; Bottom 30mm </v>
      </c>
    </row>
    <row r="757" spans="1:12" x14ac:dyDescent="0.25">
      <c r="A757" s="11">
        <f>'DA - 47'!C41</f>
        <v>415</v>
      </c>
      <c r="B757" s="11">
        <f>'DA - 47'!D41</f>
        <v>385</v>
      </c>
      <c r="C757" s="11">
        <f>'DA - 47'!E41</f>
        <v>465</v>
      </c>
      <c r="D757" s="11">
        <f>'DA - 47'!G41</f>
        <v>615</v>
      </c>
      <c r="E757" s="11" t="str">
        <f>'DA - 47'!B41</f>
        <v>Frame: 47 ----- Stem: 70x60  ----- Carbon Aerobar + 40 + bridge + 10 + 5</v>
      </c>
      <c r="F757" s="11" t="str">
        <f t="shared" si="75"/>
        <v/>
      </c>
      <c r="G757" s="11" t="str">
        <f t="shared" si="76"/>
        <v/>
      </c>
      <c r="H757" s="11">
        <f t="shared" si="77"/>
        <v>1</v>
      </c>
      <c r="I757" s="11">
        <f t="shared" si="78"/>
        <v>55</v>
      </c>
      <c r="J757" s="11">
        <v>1</v>
      </c>
      <c r="K757" s="11">
        <f t="shared" si="79"/>
        <v>1</v>
      </c>
      <c r="L757" s="11" t="str">
        <f>'DA - 47'!H41</f>
        <v xml:space="preserve">Aerobar Bolts: Top 45mm; Bottom 30mm </v>
      </c>
    </row>
    <row r="758" spans="1:12" x14ac:dyDescent="0.25">
      <c r="A758" s="11">
        <f>'DA - 47'!C42</f>
        <v>455</v>
      </c>
      <c r="B758" s="11">
        <f>'DA - 47'!D42</f>
        <v>425</v>
      </c>
      <c r="C758" s="11">
        <f>'DA - 47'!E42</f>
        <v>505</v>
      </c>
      <c r="D758" s="11">
        <f>'DA - 47'!G42</f>
        <v>0</v>
      </c>
      <c r="E758" s="11" t="str">
        <f>'DA - 47'!B42</f>
        <v>Frame: 47 ----- Stem: 100x30  ----- Carbon Aerobar</v>
      </c>
      <c r="F758" s="11">
        <f t="shared" si="75"/>
        <v>1</v>
      </c>
      <c r="G758" s="11" t="str">
        <f t="shared" si="76"/>
        <v/>
      </c>
      <c r="H758" s="11" t="str">
        <f t="shared" si="77"/>
        <v/>
      </c>
      <c r="I758" s="11">
        <f t="shared" si="78"/>
        <v>15</v>
      </c>
      <c r="J758" s="11">
        <v>1</v>
      </c>
      <c r="K758" s="11">
        <f t="shared" si="79"/>
        <v>1</v>
      </c>
      <c r="L758" s="11" t="str">
        <f>'DA - 47'!H42</f>
        <v xml:space="preserve">Aerobar Bolts: Top N/A; Bottom N/A </v>
      </c>
    </row>
    <row r="759" spans="1:12" x14ac:dyDescent="0.25">
      <c r="A759" s="11">
        <f>'DA - 47'!C43</f>
        <v>455</v>
      </c>
      <c r="B759" s="11">
        <f>'DA - 47'!D43</f>
        <v>425</v>
      </c>
      <c r="C759" s="11">
        <f>'DA - 47'!E43</f>
        <v>505</v>
      </c>
      <c r="D759" s="11">
        <f>'DA - 47'!G43</f>
        <v>530</v>
      </c>
      <c r="E759" s="11" t="str">
        <f>'DA - 47'!B43</f>
        <v>Frame: 47 ----- Stem: 100x30  ----- Carbon Aerobar + 5</v>
      </c>
      <c r="F759" s="11">
        <f t="shared" si="75"/>
        <v>1</v>
      </c>
      <c r="G759" s="11" t="str">
        <f t="shared" si="76"/>
        <v/>
      </c>
      <c r="H759" s="11" t="str">
        <f t="shared" si="77"/>
        <v/>
      </c>
      <c r="I759" s="11">
        <f t="shared" si="78"/>
        <v>15</v>
      </c>
      <c r="J759" s="11">
        <v>1</v>
      </c>
      <c r="K759" s="11">
        <f t="shared" si="79"/>
        <v>1</v>
      </c>
      <c r="L759" s="11" t="str">
        <f>'DA - 47'!H43</f>
        <v xml:space="preserve">Aerobar Bolts: Top 45mm; Bottom N/A </v>
      </c>
    </row>
    <row r="760" spans="1:12" x14ac:dyDescent="0.25">
      <c r="A760" s="11">
        <f>'DA - 47'!C44</f>
        <v>455</v>
      </c>
      <c r="B760" s="11">
        <f>'DA - 47'!D44</f>
        <v>425</v>
      </c>
      <c r="C760" s="11">
        <f>'DA - 47'!E44</f>
        <v>505</v>
      </c>
      <c r="D760" s="11">
        <f>'DA - 47'!G44</f>
        <v>535</v>
      </c>
      <c r="E760" s="11" t="str">
        <f>'DA - 47'!B44</f>
        <v>Frame: 47 ----- Stem: 100x30  ----- Carbon Aerobar + 10</v>
      </c>
      <c r="F760" s="11">
        <f t="shared" si="75"/>
        <v>1</v>
      </c>
      <c r="G760" s="11" t="str">
        <f t="shared" si="76"/>
        <v/>
      </c>
      <c r="H760" s="11" t="str">
        <f t="shared" si="77"/>
        <v/>
      </c>
      <c r="I760" s="11">
        <f t="shared" si="78"/>
        <v>15</v>
      </c>
      <c r="J760" s="11">
        <v>1</v>
      </c>
      <c r="K760" s="11">
        <f t="shared" si="79"/>
        <v>1</v>
      </c>
      <c r="L760" s="11" t="str">
        <f>'DA - 47'!H44</f>
        <v xml:space="preserve">Aerobar Bolts: Top 50mm; Bottom N/A </v>
      </c>
    </row>
    <row r="761" spans="1:12" x14ac:dyDescent="0.25">
      <c r="A761" s="11">
        <f>'DA - 47'!C45</f>
        <v>455</v>
      </c>
      <c r="B761" s="11">
        <f>'DA - 47'!D45</f>
        <v>425</v>
      </c>
      <c r="C761" s="11">
        <f>'DA - 47'!E45</f>
        <v>505</v>
      </c>
      <c r="D761" s="11">
        <f>'DA - 47'!G45</f>
        <v>540</v>
      </c>
      <c r="E761" s="11" t="str">
        <f>'DA - 47'!B45</f>
        <v>Frame: 47 ----- Stem: 100x30  ----- Carbon Aerobar + 5 + 10</v>
      </c>
      <c r="F761" s="11">
        <f t="shared" si="75"/>
        <v>1</v>
      </c>
      <c r="G761" s="11" t="str">
        <f t="shared" si="76"/>
        <v/>
      </c>
      <c r="H761" s="11" t="str">
        <f t="shared" si="77"/>
        <v/>
      </c>
      <c r="I761" s="11">
        <f t="shared" si="78"/>
        <v>15</v>
      </c>
      <c r="J761" s="11">
        <v>1</v>
      </c>
      <c r="K761" s="11">
        <f t="shared" si="79"/>
        <v>1</v>
      </c>
      <c r="L761" s="11" t="str">
        <f>'DA - 47'!H45</f>
        <v xml:space="preserve">Aerobar Bolts: Top 55mm; Bottom N/A </v>
      </c>
    </row>
    <row r="762" spans="1:12" x14ac:dyDescent="0.25">
      <c r="A762" s="11">
        <f>'DA - 47'!C46</f>
        <v>455</v>
      </c>
      <c r="B762" s="11">
        <f>'DA - 47'!D46</f>
        <v>425</v>
      </c>
      <c r="C762" s="11">
        <f>'DA - 47'!E46</f>
        <v>505</v>
      </c>
      <c r="D762" s="11">
        <f>'DA - 47'!G46</f>
        <v>545</v>
      </c>
      <c r="E762" s="11" t="str">
        <f>'DA - 47'!B46</f>
        <v>Frame: 47 ----- Stem: 100x30  ----- Carbon Aerobar + 20</v>
      </c>
      <c r="F762" s="11">
        <f t="shared" si="75"/>
        <v>1</v>
      </c>
      <c r="G762" s="11" t="str">
        <f t="shared" si="76"/>
        <v/>
      </c>
      <c r="H762" s="11" t="str">
        <f t="shared" si="77"/>
        <v/>
      </c>
      <c r="I762" s="11">
        <f t="shared" si="78"/>
        <v>15</v>
      </c>
      <c r="J762" s="11">
        <v>1</v>
      </c>
      <c r="K762" s="11">
        <f t="shared" si="79"/>
        <v>1</v>
      </c>
      <c r="L762" s="11" t="str">
        <f>'DA - 47'!H46</f>
        <v xml:space="preserve">Aerobar Bolts: Top 20mm; Bottom 30mm </v>
      </c>
    </row>
    <row r="763" spans="1:12" x14ac:dyDescent="0.25">
      <c r="A763" s="11">
        <f>'DA - 47'!C47</f>
        <v>455</v>
      </c>
      <c r="B763" s="11">
        <f>'DA - 47'!D47</f>
        <v>425</v>
      </c>
      <c r="C763" s="11">
        <f>'DA - 47'!E47</f>
        <v>505</v>
      </c>
      <c r="D763" s="11">
        <f>'DA - 47'!G47</f>
        <v>550</v>
      </c>
      <c r="E763" s="11" t="str">
        <f>'DA - 47'!B47</f>
        <v>Frame: 47 ----- Stem: 100x30  ----- Carbon Aerobar + 20 + 5</v>
      </c>
      <c r="F763" s="11">
        <f t="shared" si="75"/>
        <v>1</v>
      </c>
      <c r="G763" s="11" t="str">
        <f t="shared" si="76"/>
        <v/>
      </c>
      <c r="H763" s="11" t="str">
        <f t="shared" si="77"/>
        <v/>
      </c>
      <c r="I763" s="11">
        <f t="shared" si="78"/>
        <v>15</v>
      </c>
      <c r="J763" s="11">
        <v>1</v>
      </c>
      <c r="K763" s="11">
        <f t="shared" si="79"/>
        <v>1</v>
      </c>
      <c r="L763" s="11" t="str">
        <f>'DA - 47'!H47</f>
        <v xml:space="preserve">Aerobar Bolts: Top 25mm; Bottom 30mm </v>
      </c>
    </row>
    <row r="764" spans="1:12" x14ac:dyDescent="0.25">
      <c r="A764" s="11">
        <f>'DA - 47'!C48</f>
        <v>455</v>
      </c>
      <c r="B764" s="11">
        <f>'DA - 47'!D48</f>
        <v>425</v>
      </c>
      <c r="C764" s="11">
        <f>'DA - 47'!E48</f>
        <v>505</v>
      </c>
      <c r="D764" s="11">
        <f>'DA - 47'!G48</f>
        <v>550</v>
      </c>
      <c r="E764" s="11" t="str">
        <f>'DA - 47'!B48</f>
        <v>Frame: 47 ----- Stem: 100x30  ----- Carbon Aerobar + 20 + bridge</v>
      </c>
      <c r="F764" s="11">
        <f t="shared" si="75"/>
        <v>1</v>
      </c>
      <c r="G764" s="11" t="str">
        <f t="shared" si="76"/>
        <v/>
      </c>
      <c r="H764" s="11" t="str">
        <f t="shared" si="77"/>
        <v/>
      </c>
      <c r="I764" s="11">
        <f t="shared" si="78"/>
        <v>15</v>
      </c>
      <c r="J764" s="11">
        <v>1</v>
      </c>
      <c r="K764" s="11">
        <f t="shared" si="79"/>
        <v>1</v>
      </c>
      <c r="L764" s="11" t="str">
        <f>'DA - 47'!H48</f>
        <v xml:space="preserve">Aerobar Bolts: Top 25mm; Bottom 30mm </v>
      </c>
    </row>
    <row r="765" spans="1:12" x14ac:dyDescent="0.25">
      <c r="A765" s="11">
        <f>'DA - 47'!C49</f>
        <v>455</v>
      </c>
      <c r="B765" s="11">
        <f>'DA - 47'!D49</f>
        <v>425</v>
      </c>
      <c r="C765" s="11">
        <f>'DA - 47'!E49</f>
        <v>505</v>
      </c>
      <c r="D765" s="11">
        <f>'DA - 47'!G49</f>
        <v>555</v>
      </c>
      <c r="E765" s="11" t="str">
        <f>'DA - 47'!B49</f>
        <v>Frame: 47 ----- Stem: 100x30  ----- Carbon Aerobar + 30</v>
      </c>
      <c r="F765" s="11">
        <f t="shared" si="75"/>
        <v>1</v>
      </c>
      <c r="G765" s="11">
        <f t="shared" si="76"/>
        <v>1</v>
      </c>
      <c r="H765" s="11" t="str">
        <f t="shared" si="77"/>
        <v/>
      </c>
      <c r="I765" s="11">
        <f t="shared" si="78"/>
        <v>15</v>
      </c>
      <c r="J765" s="11">
        <v>1</v>
      </c>
      <c r="K765" s="11">
        <f t="shared" si="79"/>
        <v>1</v>
      </c>
      <c r="L765" s="11" t="str">
        <f>'DA - 47'!H49</f>
        <v xml:space="preserve">Aerobar Bolts: Top 25mm; Bottom 30mm </v>
      </c>
    </row>
    <row r="766" spans="1:12" x14ac:dyDescent="0.25">
      <c r="A766" s="11">
        <f>'DA - 47'!C50</f>
        <v>455</v>
      </c>
      <c r="B766" s="11">
        <f>'DA - 47'!D50</f>
        <v>425</v>
      </c>
      <c r="C766" s="11">
        <f>'DA - 47'!E50</f>
        <v>505</v>
      </c>
      <c r="D766" s="11">
        <f>'DA - 47'!G50</f>
        <v>555</v>
      </c>
      <c r="E766" s="11" t="str">
        <f>'DA - 47'!B50</f>
        <v>Frame: 47 ----- Stem: 100x30  ----- Carbon Aerobar + 20 + bridge + 5</v>
      </c>
      <c r="F766" s="11">
        <f t="shared" si="75"/>
        <v>1</v>
      </c>
      <c r="G766" s="11" t="str">
        <f t="shared" si="76"/>
        <v/>
      </c>
      <c r="H766" s="11" t="str">
        <f t="shared" si="77"/>
        <v/>
      </c>
      <c r="I766" s="11">
        <f t="shared" si="78"/>
        <v>15</v>
      </c>
      <c r="J766" s="11">
        <v>1</v>
      </c>
      <c r="K766" s="11">
        <f t="shared" si="79"/>
        <v>1</v>
      </c>
      <c r="L766" s="11" t="str">
        <f>'DA - 47'!H50</f>
        <v xml:space="preserve">Aerobar Bolts: Top 30mm; Bottom 30mm </v>
      </c>
    </row>
    <row r="767" spans="1:12" x14ac:dyDescent="0.25">
      <c r="A767" s="11">
        <f>'DA - 47'!C51</f>
        <v>455</v>
      </c>
      <c r="B767" s="11">
        <f>'DA - 47'!D51</f>
        <v>425</v>
      </c>
      <c r="C767" s="11">
        <f>'DA - 47'!E51</f>
        <v>505</v>
      </c>
      <c r="D767" s="11">
        <f>'DA - 47'!G51</f>
        <v>560</v>
      </c>
      <c r="E767" s="11" t="str">
        <f>'DA - 47'!B51</f>
        <v>Frame: 47 ----- Stem: 100x30  ----- Carbon Aerobar + 30 + bridge</v>
      </c>
      <c r="F767" s="11">
        <f t="shared" si="75"/>
        <v>1</v>
      </c>
      <c r="G767" s="11">
        <f t="shared" si="76"/>
        <v>1</v>
      </c>
      <c r="H767" s="11" t="str">
        <f t="shared" si="77"/>
        <v/>
      </c>
      <c r="I767" s="11">
        <f t="shared" si="78"/>
        <v>15</v>
      </c>
      <c r="J767" s="11">
        <v>1</v>
      </c>
      <c r="K767" s="11">
        <f t="shared" si="79"/>
        <v>1</v>
      </c>
      <c r="L767" s="11" t="str">
        <f>'DA - 47'!H51</f>
        <v xml:space="preserve">Aerobar Bolts: Top 30mm; Bottom 30mm </v>
      </c>
    </row>
    <row r="768" spans="1:12" x14ac:dyDescent="0.25">
      <c r="A768" s="11">
        <f>'DA - 47'!C52</f>
        <v>455</v>
      </c>
      <c r="B768" s="11">
        <f>'DA - 47'!D52</f>
        <v>425</v>
      </c>
      <c r="C768" s="11">
        <f>'DA - 47'!E52</f>
        <v>505</v>
      </c>
      <c r="D768" s="11">
        <f>'DA - 47'!G52</f>
        <v>565</v>
      </c>
      <c r="E768" s="11" t="str">
        <f>'DA - 47'!B52</f>
        <v>Frame: 47 ----- Stem: 100x30  ----- Carbon Aerobar + 30 + bridge + 5</v>
      </c>
      <c r="F768" s="11">
        <f t="shared" si="75"/>
        <v>1</v>
      </c>
      <c r="G768" s="11">
        <f t="shared" si="76"/>
        <v>1</v>
      </c>
      <c r="H768" s="11" t="str">
        <f t="shared" si="77"/>
        <v/>
      </c>
      <c r="I768" s="11">
        <f t="shared" si="78"/>
        <v>15</v>
      </c>
      <c r="J768" s="11">
        <v>1</v>
      </c>
      <c r="K768" s="11">
        <f t="shared" si="79"/>
        <v>1</v>
      </c>
      <c r="L768" s="11" t="str">
        <f>'DA - 47'!H52</f>
        <v xml:space="preserve">Aerobar Bolts: Top 35mm; Bottom 30mm </v>
      </c>
    </row>
    <row r="769" spans="1:12" x14ac:dyDescent="0.25">
      <c r="A769" s="11">
        <f>'DA - 47'!C53</f>
        <v>455</v>
      </c>
      <c r="B769" s="11">
        <f>'DA - 47'!D53</f>
        <v>425</v>
      </c>
      <c r="C769" s="11">
        <f>'DA - 47'!E53</f>
        <v>505</v>
      </c>
      <c r="D769" s="11">
        <f>'DA - 47'!G53</f>
        <v>570</v>
      </c>
      <c r="E769" s="11" t="str">
        <f>'DA - 47'!B53</f>
        <v>Frame: 47 ----- Stem: 100x30  ----- Carbon Aerobar + 40 + bridge</v>
      </c>
      <c r="F769" s="11">
        <f t="shared" ref="F769:F832" si="80">IF(AND($F$5&gt;=B769,$F$5&lt;=C769),1,"")</f>
        <v>1</v>
      </c>
      <c r="G769" s="11" t="str">
        <f t="shared" si="76"/>
        <v/>
      </c>
      <c r="H769" s="11">
        <f t="shared" si="77"/>
        <v>1</v>
      </c>
      <c r="I769" s="11">
        <f t="shared" si="78"/>
        <v>15</v>
      </c>
      <c r="J769" s="11">
        <v>1</v>
      </c>
      <c r="K769" s="11">
        <f t="shared" si="79"/>
        <v>1</v>
      </c>
      <c r="L769" s="11" t="str">
        <f>'DA - 47'!H53</f>
        <v xml:space="preserve">Aerobar Bolts: Top 35mm; Bottom 30mm </v>
      </c>
    </row>
    <row r="770" spans="1:12" x14ac:dyDescent="0.25">
      <c r="A770" s="11">
        <f>'DA - 47'!C54</f>
        <v>455</v>
      </c>
      <c r="B770" s="11">
        <f>'DA - 47'!D54</f>
        <v>425</v>
      </c>
      <c r="C770" s="11">
        <f>'DA - 47'!E54</f>
        <v>505</v>
      </c>
      <c r="D770" s="11">
        <f>'DA - 47'!G54</f>
        <v>575</v>
      </c>
      <c r="E770" s="11" t="str">
        <f>'DA - 47'!B54</f>
        <v>Frame: 47 ----- Stem: 100x30  ----- Carbon Aerobar + 40 + bridge + 5</v>
      </c>
      <c r="F770" s="11">
        <f t="shared" si="80"/>
        <v>1</v>
      </c>
      <c r="G770" s="11" t="str">
        <f t="shared" si="76"/>
        <v/>
      </c>
      <c r="H770" s="11">
        <f t="shared" si="77"/>
        <v>1</v>
      </c>
      <c r="I770" s="11">
        <f t="shared" si="78"/>
        <v>15</v>
      </c>
      <c r="J770" s="11">
        <v>1</v>
      </c>
      <c r="K770" s="11">
        <f t="shared" si="79"/>
        <v>1</v>
      </c>
      <c r="L770" s="11" t="str">
        <f>'DA - 47'!H54</f>
        <v xml:space="preserve">Aerobar Bolts: Top 35mm; Bottom 30mm </v>
      </c>
    </row>
    <row r="771" spans="1:12" x14ac:dyDescent="0.25">
      <c r="A771" s="11">
        <f>'DA - 47'!C55</f>
        <v>455</v>
      </c>
      <c r="B771" s="11">
        <f>'DA - 47'!D55</f>
        <v>425</v>
      </c>
      <c r="C771" s="11">
        <f>'DA - 47'!E55</f>
        <v>505</v>
      </c>
      <c r="D771" s="11">
        <f>'DA - 47'!G55</f>
        <v>580</v>
      </c>
      <c r="E771" s="11" t="str">
        <f>'DA - 47'!B55</f>
        <v>Frame: 47 ----- Stem: 100x30  ----- Carbon Aerobar + 40 + bridge + 10</v>
      </c>
      <c r="F771" s="11">
        <f t="shared" si="80"/>
        <v>1</v>
      </c>
      <c r="G771" s="11" t="str">
        <f t="shared" si="76"/>
        <v/>
      </c>
      <c r="H771" s="11">
        <f t="shared" si="77"/>
        <v>1</v>
      </c>
      <c r="I771" s="11">
        <f t="shared" si="78"/>
        <v>15</v>
      </c>
      <c r="J771" s="11">
        <v>1</v>
      </c>
      <c r="K771" s="11">
        <f t="shared" si="79"/>
        <v>1</v>
      </c>
      <c r="L771" s="11" t="str">
        <f>'DA - 47'!H55</f>
        <v xml:space="preserve">Aerobar Bolts: Top 40mm; Bottom 30mm </v>
      </c>
    </row>
    <row r="772" spans="1:12" x14ac:dyDescent="0.25">
      <c r="A772" s="11">
        <f>'DA - 47'!C56</f>
        <v>455</v>
      </c>
      <c r="B772" s="11">
        <f>'DA - 47'!D56</f>
        <v>425</v>
      </c>
      <c r="C772" s="11">
        <f>'DA - 47'!E56</f>
        <v>505</v>
      </c>
      <c r="D772" s="11">
        <f>'DA - 47'!G56</f>
        <v>585</v>
      </c>
      <c r="E772" s="11" t="str">
        <f>'DA - 47'!B56</f>
        <v>Frame: 47 ----- Stem: 100x30  ----- Carbon Aerobar + 40 + bridge + 10 + 5</v>
      </c>
      <c r="F772" s="11">
        <f t="shared" si="80"/>
        <v>1</v>
      </c>
      <c r="G772" s="11" t="str">
        <f t="shared" si="76"/>
        <v/>
      </c>
      <c r="H772" s="11">
        <f t="shared" si="77"/>
        <v>1</v>
      </c>
      <c r="I772" s="11">
        <f t="shared" si="78"/>
        <v>15</v>
      </c>
      <c r="J772" s="11">
        <v>1</v>
      </c>
      <c r="K772" s="11">
        <f t="shared" si="79"/>
        <v>1</v>
      </c>
      <c r="L772" s="11" t="str">
        <f>'DA - 47'!H56</f>
        <v xml:space="preserve">Aerobar Bolts: Top 45mm; Bottom 30mm </v>
      </c>
    </row>
    <row r="773" spans="1:12" x14ac:dyDescent="0.25">
      <c r="A773" s="11">
        <f>'DA - 47'!C57</f>
        <v>445</v>
      </c>
      <c r="B773" s="11">
        <f>'DA - 47'!D57</f>
        <v>415</v>
      </c>
      <c r="C773" s="11">
        <f>'DA - 47'!E57</f>
        <v>495</v>
      </c>
      <c r="D773" s="11">
        <f>'DA - 47'!G57</f>
        <v>0</v>
      </c>
      <c r="E773" s="11" t="str">
        <f>'DA - 47'!B57</f>
        <v>Frame: 47 ----- Stem: 100x60  ----- Carbon Aerobar</v>
      </c>
      <c r="F773" s="11">
        <f t="shared" si="80"/>
        <v>1</v>
      </c>
      <c r="G773" s="11" t="str">
        <f t="shared" si="76"/>
        <v/>
      </c>
      <c r="H773" s="11" t="str">
        <f t="shared" si="77"/>
        <v/>
      </c>
      <c r="I773" s="11">
        <f t="shared" si="78"/>
        <v>25</v>
      </c>
      <c r="J773" s="11">
        <v>1</v>
      </c>
      <c r="K773" s="11">
        <f t="shared" si="79"/>
        <v>1</v>
      </c>
      <c r="L773" s="11" t="str">
        <f>'DA - 47'!H57</f>
        <v xml:space="preserve">Aerobar Bolts: Top N/A; Bottom N/A </v>
      </c>
    </row>
    <row r="774" spans="1:12" x14ac:dyDescent="0.25">
      <c r="A774" s="11">
        <f>'DA - 47'!C58</f>
        <v>445</v>
      </c>
      <c r="B774" s="11">
        <f>'DA - 47'!D58</f>
        <v>415</v>
      </c>
      <c r="C774" s="11">
        <f>'DA - 47'!E58</f>
        <v>495</v>
      </c>
      <c r="D774" s="11">
        <f>'DA - 47'!G58</f>
        <v>560</v>
      </c>
      <c r="E774" s="11" t="str">
        <f>'DA - 47'!B58</f>
        <v>Frame: 47 ----- Stem: 100x60  ----- Carbon Aerobar + 5</v>
      </c>
      <c r="F774" s="11">
        <f t="shared" si="80"/>
        <v>1</v>
      </c>
      <c r="G774" s="11" t="str">
        <f t="shared" si="76"/>
        <v/>
      </c>
      <c r="H774" s="11" t="str">
        <f t="shared" si="77"/>
        <v/>
      </c>
      <c r="I774" s="11">
        <f t="shared" si="78"/>
        <v>25</v>
      </c>
      <c r="J774" s="11">
        <v>1</v>
      </c>
      <c r="K774" s="11">
        <f t="shared" si="79"/>
        <v>1</v>
      </c>
      <c r="L774" s="11" t="str">
        <f>'DA - 47'!H58</f>
        <v xml:space="preserve">Aerobar Bolts: Top 45mm; Bottom N/A </v>
      </c>
    </row>
    <row r="775" spans="1:12" x14ac:dyDescent="0.25">
      <c r="A775" s="11">
        <f>'DA - 47'!C59</f>
        <v>445</v>
      </c>
      <c r="B775" s="11">
        <f>'DA - 47'!D59</f>
        <v>415</v>
      </c>
      <c r="C775" s="11">
        <f>'DA - 47'!E59</f>
        <v>495</v>
      </c>
      <c r="D775" s="11">
        <f>'DA - 47'!G59</f>
        <v>565</v>
      </c>
      <c r="E775" s="11" t="str">
        <f>'DA - 47'!B59</f>
        <v>Frame: 47 ----- Stem: 100x60  ----- Carbon Aerobar + 10</v>
      </c>
      <c r="F775" s="11">
        <f t="shared" si="80"/>
        <v>1</v>
      </c>
      <c r="G775" s="11" t="str">
        <f t="shared" si="76"/>
        <v/>
      </c>
      <c r="H775" s="11" t="str">
        <f t="shared" si="77"/>
        <v/>
      </c>
      <c r="I775" s="11">
        <f t="shared" si="78"/>
        <v>25</v>
      </c>
      <c r="J775" s="11">
        <v>1</v>
      </c>
      <c r="K775" s="11">
        <f t="shared" si="79"/>
        <v>1</v>
      </c>
      <c r="L775" s="11" t="str">
        <f>'DA - 47'!H59</f>
        <v xml:space="preserve">Aerobar Bolts: Top 50mm; Bottom N/A </v>
      </c>
    </row>
    <row r="776" spans="1:12" x14ac:dyDescent="0.25">
      <c r="A776" s="11">
        <f>'DA - 47'!C60</f>
        <v>445</v>
      </c>
      <c r="B776" s="11">
        <f>'DA - 47'!D60</f>
        <v>415</v>
      </c>
      <c r="C776" s="11">
        <f>'DA - 47'!E60</f>
        <v>495</v>
      </c>
      <c r="D776" s="11">
        <f>'DA - 47'!G60</f>
        <v>570</v>
      </c>
      <c r="E776" s="11" t="str">
        <f>'DA - 47'!B60</f>
        <v>Frame: 47 ----- Stem: 100x60  ----- Carbon Aerobar + 5 + 10</v>
      </c>
      <c r="F776" s="11">
        <f t="shared" si="80"/>
        <v>1</v>
      </c>
      <c r="G776" s="11" t="str">
        <f t="shared" si="76"/>
        <v/>
      </c>
      <c r="H776" s="11" t="str">
        <f t="shared" si="77"/>
        <v/>
      </c>
      <c r="I776" s="11">
        <f t="shared" si="78"/>
        <v>25</v>
      </c>
      <c r="J776" s="11">
        <v>1</v>
      </c>
      <c r="K776" s="11">
        <f t="shared" si="79"/>
        <v>1</v>
      </c>
      <c r="L776" s="11" t="str">
        <f>'DA - 47'!H60</f>
        <v xml:space="preserve">Aerobar Bolts: Top 55mm; Bottom N/A </v>
      </c>
    </row>
    <row r="777" spans="1:12" x14ac:dyDescent="0.25">
      <c r="A777" s="11">
        <f>'DA - 47'!C61</f>
        <v>445</v>
      </c>
      <c r="B777" s="11">
        <f>'DA - 47'!D61</f>
        <v>415</v>
      </c>
      <c r="C777" s="11">
        <f>'DA - 47'!E61</f>
        <v>495</v>
      </c>
      <c r="D777" s="11">
        <f>'DA - 47'!G61</f>
        <v>575</v>
      </c>
      <c r="E777" s="11" t="str">
        <f>'DA - 47'!B61</f>
        <v>Frame: 47 ----- Stem: 100x60  ----- Carbon Aerobar + 20</v>
      </c>
      <c r="F777" s="11">
        <f t="shared" si="80"/>
        <v>1</v>
      </c>
      <c r="G777" s="11" t="str">
        <f t="shared" ref="G777:G840" si="81">IF(ISNUMBER(FIND(" 30",E777)),1,"")</f>
        <v/>
      </c>
      <c r="H777" s="11" t="str">
        <f t="shared" ref="H777:H840" si="82">IF(ISNUMBER(FIND(" 40",E777)),1,"")</f>
        <v/>
      </c>
      <c r="I777" s="11">
        <f t="shared" ref="I777:I840" si="83">$F$5-A777</f>
        <v>25</v>
      </c>
      <c r="J777" s="11">
        <v>1</v>
      </c>
      <c r="K777" s="11">
        <f t="shared" ref="K777:K840" si="84">IF(ISNUMBER(FIND(" 58",E777)),$AD$9,IF(ISNUMBER(FIND(" 56",E777)),$AD$8,IF(ISNUMBER(FIND(" 54",E777)),$AD$7,IF(ISNUMBER(FIND(" 51",E777)),$AD$6,IF(ISNUMBER(FIND(" 47",E777)),$AD$5,"")))))</f>
        <v>1</v>
      </c>
      <c r="L777" s="11" t="str">
        <f>'DA - 47'!H61</f>
        <v xml:space="preserve">Aerobar Bolts: Top 20mm; Bottom 30mm </v>
      </c>
    </row>
    <row r="778" spans="1:12" x14ac:dyDescent="0.25">
      <c r="A778" s="11">
        <f>'DA - 47'!C62</f>
        <v>445</v>
      </c>
      <c r="B778" s="11">
        <f>'DA - 47'!D62</f>
        <v>415</v>
      </c>
      <c r="C778" s="11">
        <f>'DA - 47'!E62</f>
        <v>495</v>
      </c>
      <c r="D778" s="11">
        <f>'DA - 47'!G62</f>
        <v>580</v>
      </c>
      <c r="E778" s="11" t="str">
        <f>'DA - 47'!B62</f>
        <v>Frame: 47 ----- Stem: 100x60  ----- Carbon Aerobar + 20 + 5</v>
      </c>
      <c r="F778" s="11">
        <f t="shared" si="80"/>
        <v>1</v>
      </c>
      <c r="G778" s="11" t="str">
        <f t="shared" si="81"/>
        <v/>
      </c>
      <c r="H778" s="11" t="str">
        <f t="shared" si="82"/>
        <v/>
      </c>
      <c r="I778" s="11">
        <f t="shared" si="83"/>
        <v>25</v>
      </c>
      <c r="J778" s="11">
        <v>1</v>
      </c>
      <c r="K778" s="11">
        <f t="shared" si="84"/>
        <v>1</v>
      </c>
      <c r="L778" s="11" t="str">
        <f>'DA - 47'!H62</f>
        <v xml:space="preserve">Aerobar Bolts: Top 25mm; Bottom 30mm </v>
      </c>
    </row>
    <row r="779" spans="1:12" x14ac:dyDescent="0.25">
      <c r="A779" s="11">
        <f>'DA - 47'!C63</f>
        <v>445</v>
      </c>
      <c r="B779" s="11">
        <f>'DA - 47'!D63</f>
        <v>415</v>
      </c>
      <c r="C779" s="11">
        <f>'DA - 47'!E63</f>
        <v>495</v>
      </c>
      <c r="D779" s="11">
        <f>'DA - 47'!G63</f>
        <v>580</v>
      </c>
      <c r="E779" s="11" t="str">
        <f>'DA - 47'!B63</f>
        <v>Frame: 47 ----- Stem: 100x60  ----- Carbon Aerobar + 20 + bridge</v>
      </c>
      <c r="F779" s="11">
        <f t="shared" si="80"/>
        <v>1</v>
      </c>
      <c r="G779" s="11" t="str">
        <f t="shared" si="81"/>
        <v/>
      </c>
      <c r="H779" s="11" t="str">
        <f t="shared" si="82"/>
        <v/>
      </c>
      <c r="I779" s="11">
        <f t="shared" si="83"/>
        <v>25</v>
      </c>
      <c r="J779" s="11">
        <v>1</v>
      </c>
      <c r="K779" s="11">
        <f t="shared" si="84"/>
        <v>1</v>
      </c>
      <c r="L779" s="11" t="str">
        <f>'DA - 47'!H63</f>
        <v xml:space="preserve">Aerobar Bolts: Top 25mm; Bottom 30mm </v>
      </c>
    </row>
    <row r="780" spans="1:12" x14ac:dyDescent="0.25">
      <c r="A780" s="11">
        <f>'DA - 47'!C64</f>
        <v>445</v>
      </c>
      <c r="B780" s="11">
        <f>'DA - 47'!D64</f>
        <v>415</v>
      </c>
      <c r="C780" s="11">
        <f>'DA - 47'!E64</f>
        <v>495</v>
      </c>
      <c r="D780" s="11">
        <f>'DA - 47'!G64</f>
        <v>585</v>
      </c>
      <c r="E780" s="11" t="str">
        <f>'DA - 47'!B64</f>
        <v>Frame: 47 ----- Stem: 100x60  ----- Carbon Aerobar + 30</v>
      </c>
      <c r="F780" s="11">
        <f t="shared" si="80"/>
        <v>1</v>
      </c>
      <c r="G780" s="11">
        <f t="shared" si="81"/>
        <v>1</v>
      </c>
      <c r="H780" s="11" t="str">
        <f t="shared" si="82"/>
        <v/>
      </c>
      <c r="I780" s="11">
        <f t="shared" si="83"/>
        <v>25</v>
      </c>
      <c r="J780" s="11">
        <v>1</v>
      </c>
      <c r="K780" s="11">
        <f t="shared" si="84"/>
        <v>1</v>
      </c>
      <c r="L780" s="11" t="str">
        <f>'DA - 47'!H64</f>
        <v xml:space="preserve">Aerobar Bolts: Top 25mm; Bottom 30mm </v>
      </c>
    </row>
    <row r="781" spans="1:12" x14ac:dyDescent="0.25">
      <c r="A781" s="11">
        <f>'DA - 47'!C65</f>
        <v>445</v>
      </c>
      <c r="B781" s="11">
        <f>'DA - 47'!D65</f>
        <v>415</v>
      </c>
      <c r="C781" s="11">
        <f>'DA - 47'!E65</f>
        <v>495</v>
      </c>
      <c r="D781" s="11">
        <f>'DA - 47'!G65</f>
        <v>585</v>
      </c>
      <c r="E781" s="11" t="str">
        <f>'DA - 47'!B65</f>
        <v>Frame: 47 ----- Stem: 100x60  ----- Carbon Aerobar + 20 + bridge + 5</v>
      </c>
      <c r="F781" s="11">
        <f t="shared" si="80"/>
        <v>1</v>
      </c>
      <c r="G781" s="11" t="str">
        <f t="shared" si="81"/>
        <v/>
      </c>
      <c r="H781" s="11" t="str">
        <f t="shared" si="82"/>
        <v/>
      </c>
      <c r="I781" s="11">
        <f t="shared" si="83"/>
        <v>25</v>
      </c>
      <c r="J781" s="11">
        <v>1</v>
      </c>
      <c r="K781" s="11">
        <f t="shared" si="84"/>
        <v>1</v>
      </c>
      <c r="L781" s="11" t="str">
        <f>'DA - 47'!H65</f>
        <v xml:space="preserve">Aerobar Bolts: Top 30mm; Bottom 30mm </v>
      </c>
    </row>
    <row r="782" spans="1:12" x14ac:dyDescent="0.25">
      <c r="A782" s="11">
        <f>'DA - 47'!C66</f>
        <v>445</v>
      </c>
      <c r="B782" s="11">
        <f>'DA - 47'!D66</f>
        <v>415</v>
      </c>
      <c r="C782" s="11">
        <f>'DA - 47'!E66</f>
        <v>495</v>
      </c>
      <c r="D782" s="11">
        <f>'DA - 47'!G66</f>
        <v>590</v>
      </c>
      <c r="E782" s="11" t="str">
        <f>'DA - 47'!B66</f>
        <v>Frame: 47 ----- Stem: 100x60  ----- Carbon Aerobar + 30 + bridge</v>
      </c>
      <c r="F782" s="11">
        <f t="shared" si="80"/>
        <v>1</v>
      </c>
      <c r="G782" s="11">
        <f t="shared" si="81"/>
        <v>1</v>
      </c>
      <c r="H782" s="11" t="str">
        <f t="shared" si="82"/>
        <v/>
      </c>
      <c r="I782" s="11">
        <f t="shared" si="83"/>
        <v>25</v>
      </c>
      <c r="J782" s="11">
        <v>1</v>
      </c>
      <c r="K782" s="11">
        <f t="shared" si="84"/>
        <v>1</v>
      </c>
      <c r="L782" s="11" t="str">
        <f>'DA - 47'!H66</f>
        <v xml:space="preserve">Aerobar Bolts: Top 30mm; Bottom 30mm </v>
      </c>
    </row>
    <row r="783" spans="1:12" x14ac:dyDescent="0.25">
      <c r="A783" s="11">
        <f>'DA - 47'!C67</f>
        <v>445</v>
      </c>
      <c r="B783" s="11">
        <f>'DA - 47'!D67</f>
        <v>415</v>
      </c>
      <c r="C783" s="11">
        <f>'DA - 47'!E67</f>
        <v>495</v>
      </c>
      <c r="D783" s="11">
        <f>'DA - 47'!G67</f>
        <v>595</v>
      </c>
      <c r="E783" s="11" t="str">
        <f>'DA - 47'!B67</f>
        <v>Frame: 47 ----- Stem: 100x60  ----- Carbon Aerobar + 30 + bridge + 5</v>
      </c>
      <c r="F783" s="11">
        <f t="shared" si="80"/>
        <v>1</v>
      </c>
      <c r="G783" s="11">
        <f t="shared" si="81"/>
        <v>1</v>
      </c>
      <c r="H783" s="11" t="str">
        <f t="shared" si="82"/>
        <v/>
      </c>
      <c r="I783" s="11">
        <f t="shared" si="83"/>
        <v>25</v>
      </c>
      <c r="J783" s="11">
        <v>1</v>
      </c>
      <c r="K783" s="11">
        <f t="shared" si="84"/>
        <v>1</v>
      </c>
      <c r="L783" s="11" t="str">
        <f>'DA - 47'!H67</f>
        <v xml:space="preserve">Aerobar Bolts: Top 35mm; Bottom 30mm </v>
      </c>
    </row>
    <row r="784" spans="1:12" x14ac:dyDescent="0.25">
      <c r="A784" s="11">
        <f>'DA - 47'!C68</f>
        <v>445</v>
      </c>
      <c r="B784" s="11">
        <f>'DA - 47'!D68</f>
        <v>415</v>
      </c>
      <c r="C784" s="11">
        <f>'DA - 47'!E68</f>
        <v>495</v>
      </c>
      <c r="D784" s="11">
        <f>'DA - 47'!G68</f>
        <v>600</v>
      </c>
      <c r="E784" s="11" t="str">
        <f>'DA - 47'!B68</f>
        <v>Frame: 47 ----- Stem: 100x60  ----- Carbon Aerobar + 40 + bridge</v>
      </c>
      <c r="F784" s="11">
        <f t="shared" si="80"/>
        <v>1</v>
      </c>
      <c r="G784" s="11" t="str">
        <f t="shared" si="81"/>
        <v/>
      </c>
      <c r="H784" s="11">
        <f t="shared" si="82"/>
        <v>1</v>
      </c>
      <c r="I784" s="11">
        <f t="shared" si="83"/>
        <v>25</v>
      </c>
      <c r="J784" s="11">
        <v>1</v>
      </c>
      <c r="K784" s="11">
        <f t="shared" si="84"/>
        <v>1</v>
      </c>
      <c r="L784" s="11" t="str">
        <f>'DA - 47'!H68</f>
        <v xml:space="preserve">Aerobar Bolts: Top 35mm; Bottom 30mm </v>
      </c>
    </row>
    <row r="785" spans="1:12" x14ac:dyDescent="0.25">
      <c r="A785" s="11">
        <f>'DA - 47'!C69</f>
        <v>445</v>
      </c>
      <c r="B785" s="11">
        <f>'DA - 47'!D69</f>
        <v>415</v>
      </c>
      <c r="C785" s="11">
        <f>'DA - 47'!E69</f>
        <v>495</v>
      </c>
      <c r="D785" s="11">
        <f>'DA - 47'!G69</f>
        <v>605</v>
      </c>
      <c r="E785" s="11" t="str">
        <f>'DA - 47'!B69</f>
        <v>Frame: 47 ----- Stem: 100x60  ----- Carbon Aerobar + 40 + bridge + 5</v>
      </c>
      <c r="F785" s="11">
        <f t="shared" si="80"/>
        <v>1</v>
      </c>
      <c r="G785" s="11" t="str">
        <f t="shared" si="81"/>
        <v/>
      </c>
      <c r="H785" s="11">
        <f t="shared" si="82"/>
        <v>1</v>
      </c>
      <c r="I785" s="11">
        <f t="shared" si="83"/>
        <v>25</v>
      </c>
      <c r="J785" s="11">
        <v>1</v>
      </c>
      <c r="K785" s="11">
        <f t="shared" si="84"/>
        <v>1</v>
      </c>
      <c r="L785" s="11" t="str">
        <f>'DA - 47'!H69</f>
        <v xml:space="preserve">Aerobar Bolts: Top 35mm; Bottom 30mm </v>
      </c>
    </row>
    <row r="786" spans="1:12" x14ac:dyDescent="0.25">
      <c r="A786" s="11">
        <f>'DA - 47'!C70</f>
        <v>445</v>
      </c>
      <c r="B786" s="11">
        <f>'DA - 47'!D70</f>
        <v>415</v>
      </c>
      <c r="C786" s="11">
        <f>'DA - 47'!E70</f>
        <v>495</v>
      </c>
      <c r="D786" s="11">
        <f>'DA - 47'!G70</f>
        <v>610</v>
      </c>
      <c r="E786" s="11" t="str">
        <f>'DA - 47'!B70</f>
        <v>Frame: 47 ----- Stem: 100x60  ----- Carbon Aerobar + 40 + bridge + 10</v>
      </c>
      <c r="F786" s="11">
        <f t="shared" si="80"/>
        <v>1</v>
      </c>
      <c r="G786" s="11" t="str">
        <f t="shared" si="81"/>
        <v/>
      </c>
      <c r="H786" s="11">
        <f t="shared" si="82"/>
        <v>1</v>
      </c>
      <c r="I786" s="11">
        <f t="shared" si="83"/>
        <v>25</v>
      </c>
      <c r="J786" s="11">
        <v>1</v>
      </c>
      <c r="K786" s="11">
        <f t="shared" si="84"/>
        <v>1</v>
      </c>
      <c r="L786" s="11" t="str">
        <f>'DA - 47'!H70</f>
        <v xml:space="preserve">Aerobar Bolts: Top 40mm; Bottom 30mm </v>
      </c>
    </row>
    <row r="787" spans="1:12" x14ac:dyDescent="0.25">
      <c r="A787" s="11">
        <f>'DA - 47'!C71</f>
        <v>445</v>
      </c>
      <c r="B787" s="11">
        <f>'DA - 47'!D71</f>
        <v>415</v>
      </c>
      <c r="C787" s="11">
        <f>'DA - 47'!E71</f>
        <v>495</v>
      </c>
      <c r="D787" s="11">
        <f>'DA - 47'!G71</f>
        <v>615</v>
      </c>
      <c r="E787" s="11" t="str">
        <f>'DA - 47'!B71</f>
        <v>Frame: 47 ----- Stem: 100x60  ----- Carbon Aerobar + 40 + bridge + 10 + 5</v>
      </c>
      <c r="F787" s="11">
        <f t="shared" si="80"/>
        <v>1</v>
      </c>
      <c r="G787" s="11" t="str">
        <f t="shared" si="81"/>
        <v/>
      </c>
      <c r="H787" s="11">
        <f t="shared" si="82"/>
        <v>1</v>
      </c>
      <c r="I787" s="11">
        <f t="shared" si="83"/>
        <v>25</v>
      </c>
      <c r="J787" s="11">
        <v>1</v>
      </c>
      <c r="K787" s="11">
        <f t="shared" si="84"/>
        <v>1</v>
      </c>
      <c r="L787" s="11" t="str">
        <f>'DA - 47'!H71</f>
        <v xml:space="preserve">Aerobar Bolts: Top 45mm; Bottom 30mm </v>
      </c>
    </row>
    <row r="788" spans="1:12" x14ac:dyDescent="0.25">
      <c r="A788" s="11">
        <f>'DA - 47'!C72</f>
        <v>450</v>
      </c>
      <c r="B788" s="11">
        <f>'DA - 47'!D72</f>
        <v>420</v>
      </c>
      <c r="C788" s="11">
        <f>'DA - 47'!E72</f>
        <v>500</v>
      </c>
      <c r="D788" s="11">
        <f>'DA - 47'!G72</f>
        <v>0</v>
      </c>
      <c r="E788" s="11" t="str">
        <f>'DA - 47'!B72</f>
        <v>Frame: 47 ----- Stem: 90x0  ----- Carbon Aerobar</v>
      </c>
      <c r="F788" s="11">
        <f t="shared" si="80"/>
        <v>1</v>
      </c>
      <c r="G788" s="11" t="str">
        <f t="shared" si="81"/>
        <v/>
      </c>
      <c r="H788" s="11" t="str">
        <f t="shared" si="82"/>
        <v/>
      </c>
      <c r="I788" s="11">
        <f t="shared" si="83"/>
        <v>20</v>
      </c>
      <c r="J788" s="11">
        <v>1</v>
      </c>
      <c r="K788" s="11">
        <f t="shared" si="84"/>
        <v>1</v>
      </c>
      <c r="L788" s="11" t="str">
        <f>'DA - 47'!H72</f>
        <v xml:space="preserve">Aerobar Bolts: Top N/A; Bottom N/A </v>
      </c>
    </row>
    <row r="789" spans="1:12" x14ac:dyDescent="0.25">
      <c r="A789" s="11">
        <f>'DA - 47'!C73</f>
        <v>450</v>
      </c>
      <c r="B789" s="11">
        <f>'DA - 47'!D73</f>
        <v>420</v>
      </c>
      <c r="C789" s="11">
        <f>'DA - 47'!E73</f>
        <v>500</v>
      </c>
      <c r="D789" s="11">
        <f>'DA - 47'!G73</f>
        <v>500</v>
      </c>
      <c r="E789" s="11" t="str">
        <f>'DA - 47'!B73</f>
        <v>Frame: 47 ----- Stem: 90x0  ----- Carbon Aerobar + 5</v>
      </c>
      <c r="F789" s="11">
        <f t="shared" si="80"/>
        <v>1</v>
      </c>
      <c r="G789" s="11" t="str">
        <f t="shared" si="81"/>
        <v/>
      </c>
      <c r="H789" s="11" t="str">
        <f t="shared" si="82"/>
        <v/>
      </c>
      <c r="I789" s="11">
        <f t="shared" si="83"/>
        <v>20</v>
      </c>
      <c r="J789" s="11">
        <v>1</v>
      </c>
      <c r="K789" s="11">
        <f t="shared" si="84"/>
        <v>1</v>
      </c>
      <c r="L789" s="11" t="str">
        <f>'DA - 47'!H73</f>
        <v xml:space="preserve">Aerobar Bolts: Top 45mm; Bottom N/A </v>
      </c>
    </row>
    <row r="790" spans="1:12" x14ac:dyDescent="0.25">
      <c r="A790" s="11">
        <f>'DA - 47'!C74</f>
        <v>450</v>
      </c>
      <c r="B790" s="11">
        <f>'DA - 47'!D74</f>
        <v>420</v>
      </c>
      <c r="C790" s="11">
        <f>'DA - 47'!E74</f>
        <v>500</v>
      </c>
      <c r="D790" s="11">
        <f>'DA - 47'!G74</f>
        <v>505</v>
      </c>
      <c r="E790" s="11" t="str">
        <f>'DA - 47'!B74</f>
        <v>Frame: 47 ----- Stem: 90x0  ----- Carbon Aerobar + 10</v>
      </c>
      <c r="F790" s="11">
        <f t="shared" si="80"/>
        <v>1</v>
      </c>
      <c r="G790" s="11" t="str">
        <f t="shared" si="81"/>
        <v/>
      </c>
      <c r="H790" s="11" t="str">
        <f t="shared" si="82"/>
        <v/>
      </c>
      <c r="I790" s="11">
        <f t="shared" si="83"/>
        <v>20</v>
      </c>
      <c r="J790" s="11">
        <v>1</v>
      </c>
      <c r="K790" s="11">
        <f t="shared" si="84"/>
        <v>1</v>
      </c>
      <c r="L790" s="11" t="str">
        <f>'DA - 47'!H74</f>
        <v xml:space="preserve">Aerobar Bolts: Top 50mm; Bottom N/A </v>
      </c>
    </row>
    <row r="791" spans="1:12" x14ac:dyDescent="0.25">
      <c r="A791" s="11">
        <f>'DA - 47'!C75</f>
        <v>450</v>
      </c>
      <c r="B791" s="11">
        <f>'DA - 47'!D75</f>
        <v>420</v>
      </c>
      <c r="C791" s="11">
        <f>'DA - 47'!E75</f>
        <v>500</v>
      </c>
      <c r="D791" s="11">
        <f>'DA - 47'!G75</f>
        <v>510</v>
      </c>
      <c r="E791" s="11" t="str">
        <f>'DA - 47'!B75</f>
        <v>Frame: 47 ----- Stem: 90x0  ----- Carbon Aerobar + 5 + 10</v>
      </c>
      <c r="F791" s="11">
        <f t="shared" si="80"/>
        <v>1</v>
      </c>
      <c r="G791" s="11" t="str">
        <f t="shared" si="81"/>
        <v/>
      </c>
      <c r="H791" s="11" t="str">
        <f t="shared" si="82"/>
        <v/>
      </c>
      <c r="I791" s="11">
        <f t="shared" si="83"/>
        <v>20</v>
      </c>
      <c r="J791" s="11">
        <v>1</v>
      </c>
      <c r="K791" s="11">
        <f t="shared" si="84"/>
        <v>1</v>
      </c>
      <c r="L791" s="11" t="str">
        <f>'DA - 47'!H75</f>
        <v xml:space="preserve">Aerobar Bolts: Top 55mm; Bottom N/A </v>
      </c>
    </row>
    <row r="792" spans="1:12" x14ac:dyDescent="0.25">
      <c r="A792" s="11">
        <f>'DA - 47'!C76</f>
        <v>450</v>
      </c>
      <c r="B792" s="11">
        <f>'DA - 47'!D76</f>
        <v>420</v>
      </c>
      <c r="C792" s="11">
        <f>'DA - 47'!E76</f>
        <v>500</v>
      </c>
      <c r="D792" s="11">
        <f>'DA - 47'!G76</f>
        <v>515</v>
      </c>
      <c r="E792" s="11" t="str">
        <f>'DA - 47'!B76</f>
        <v>Frame: 47 ----- Stem: 90x0  ----- Carbon Aerobar + 20</v>
      </c>
      <c r="F792" s="11">
        <f t="shared" si="80"/>
        <v>1</v>
      </c>
      <c r="G792" s="11" t="str">
        <f t="shared" si="81"/>
        <v/>
      </c>
      <c r="H792" s="11" t="str">
        <f t="shared" si="82"/>
        <v/>
      </c>
      <c r="I792" s="11">
        <f t="shared" si="83"/>
        <v>20</v>
      </c>
      <c r="J792" s="11">
        <v>1</v>
      </c>
      <c r="K792" s="11">
        <f t="shared" si="84"/>
        <v>1</v>
      </c>
      <c r="L792" s="11" t="str">
        <f>'DA - 47'!H76</f>
        <v xml:space="preserve">Aerobar Bolts: Top 20mm; Bottom 30mm </v>
      </c>
    </row>
    <row r="793" spans="1:12" x14ac:dyDescent="0.25">
      <c r="A793" s="11">
        <f>'DA - 47'!C77</f>
        <v>450</v>
      </c>
      <c r="B793" s="11">
        <f>'DA - 47'!D77</f>
        <v>420</v>
      </c>
      <c r="C793" s="11">
        <f>'DA - 47'!E77</f>
        <v>500</v>
      </c>
      <c r="D793" s="11">
        <f>'DA - 47'!G77</f>
        <v>520</v>
      </c>
      <c r="E793" s="11" t="str">
        <f>'DA - 47'!B77</f>
        <v>Frame: 47 ----- Stem: 90x0  ----- Carbon Aerobar + 20 + 5</v>
      </c>
      <c r="F793" s="11">
        <f t="shared" si="80"/>
        <v>1</v>
      </c>
      <c r="G793" s="11" t="str">
        <f t="shared" si="81"/>
        <v/>
      </c>
      <c r="H793" s="11" t="str">
        <f t="shared" si="82"/>
        <v/>
      </c>
      <c r="I793" s="11">
        <f t="shared" si="83"/>
        <v>20</v>
      </c>
      <c r="J793" s="11">
        <v>1</v>
      </c>
      <c r="K793" s="11">
        <f t="shared" si="84"/>
        <v>1</v>
      </c>
      <c r="L793" s="11" t="str">
        <f>'DA - 47'!H77</f>
        <v xml:space="preserve">Aerobar Bolts: Top 25mm; Bottom 30mm </v>
      </c>
    </row>
    <row r="794" spans="1:12" x14ac:dyDescent="0.25">
      <c r="A794" s="11">
        <f>'DA - 47'!C78</f>
        <v>450</v>
      </c>
      <c r="B794" s="11">
        <f>'DA - 47'!D78</f>
        <v>420</v>
      </c>
      <c r="C794" s="11">
        <f>'DA - 47'!E78</f>
        <v>500</v>
      </c>
      <c r="D794" s="11">
        <f>'DA - 47'!G78</f>
        <v>520</v>
      </c>
      <c r="E794" s="11" t="str">
        <f>'DA - 47'!B78</f>
        <v>Frame: 47 ----- Stem: 90x0  ----- Carbon Aerobar + 20 + bridge</v>
      </c>
      <c r="F794" s="11">
        <f t="shared" si="80"/>
        <v>1</v>
      </c>
      <c r="G794" s="11" t="str">
        <f t="shared" si="81"/>
        <v/>
      </c>
      <c r="H794" s="11" t="str">
        <f t="shared" si="82"/>
        <v/>
      </c>
      <c r="I794" s="11">
        <f t="shared" si="83"/>
        <v>20</v>
      </c>
      <c r="J794" s="11">
        <v>1</v>
      </c>
      <c r="K794" s="11">
        <f t="shared" si="84"/>
        <v>1</v>
      </c>
      <c r="L794" s="11" t="str">
        <f>'DA - 47'!H78</f>
        <v xml:space="preserve">Aerobar Bolts: Top 25mm; Bottom 30mm </v>
      </c>
    </row>
    <row r="795" spans="1:12" x14ac:dyDescent="0.25">
      <c r="A795" s="11">
        <f>'DA - 47'!C79</f>
        <v>450</v>
      </c>
      <c r="B795" s="11">
        <f>'DA - 47'!D79</f>
        <v>420</v>
      </c>
      <c r="C795" s="11">
        <f>'DA - 47'!E79</f>
        <v>500</v>
      </c>
      <c r="D795" s="11">
        <f>'DA - 47'!G79</f>
        <v>525</v>
      </c>
      <c r="E795" s="11" t="str">
        <f>'DA - 47'!B79</f>
        <v>Frame: 47 ----- Stem: 90x0  ----- Carbon Aerobar + 30</v>
      </c>
      <c r="F795" s="11">
        <f t="shared" si="80"/>
        <v>1</v>
      </c>
      <c r="G795" s="11">
        <f t="shared" si="81"/>
        <v>1</v>
      </c>
      <c r="H795" s="11" t="str">
        <f t="shared" si="82"/>
        <v/>
      </c>
      <c r="I795" s="11">
        <f t="shared" si="83"/>
        <v>20</v>
      </c>
      <c r="J795" s="11">
        <v>1</v>
      </c>
      <c r="K795" s="11">
        <f t="shared" si="84"/>
        <v>1</v>
      </c>
      <c r="L795" s="11" t="str">
        <f>'DA - 47'!H79</f>
        <v xml:space="preserve">Aerobar Bolts: Top 25mm; Bottom 30mm </v>
      </c>
    </row>
    <row r="796" spans="1:12" x14ac:dyDescent="0.25">
      <c r="A796" s="11">
        <f>'DA - 47'!C80</f>
        <v>450</v>
      </c>
      <c r="B796" s="11">
        <f>'DA - 47'!D80</f>
        <v>420</v>
      </c>
      <c r="C796" s="11">
        <f>'DA - 47'!E80</f>
        <v>500</v>
      </c>
      <c r="D796" s="11">
        <f>'DA - 47'!G80</f>
        <v>525</v>
      </c>
      <c r="E796" s="11" t="str">
        <f>'DA - 47'!B80</f>
        <v>Frame: 47 ----- Stem: 90x0  ----- Carbon Aerobar + 20 + bridge + 5</v>
      </c>
      <c r="F796" s="11">
        <f t="shared" si="80"/>
        <v>1</v>
      </c>
      <c r="G796" s="11" t="str">
        <f t="shared" si="81"/>
        <v/>
      </c>
      <c r="H796" s="11" t="str">
        <f t="shared" si="82"/>
        <v/>
      </c>
      <c r="I796" s="11">
        <f t="shared" si="83"/>
        <v>20</v>
      </c>
      <c r="J796" s="11">
        <v>1</v>
      </c>
      <c r="K796" s="11">
        <f t="shared" si="84"/>
        <v>1</v>
      </c>
      <c r="L796" s="11" t="str">
        <f>'DA - 47'!H80</f>
        <v xml:space="preserve">Aerobar Bolts: Top 30mm; Bottom 30mm </v>
      </c>
    </row>
    <row r="797" spans="1:12" x14ac:dyDescent="0.25">
      <c r="A797" s="11">
        <f>'DA - 47'!C81</f>
        <v>450</v>
      </c>
      <c r="B797" s="11">
        <f>'DA - 47'!D81</f>
        <v>420</v>
      </c>
      <c r="C797" s="11">
        <f>'DA - 47'!E81</f>
        <v>500</v>
      </c>
      <c r="D797" s="11">
        <f>'DA - 47'!G81</f>
        <v>530</v>
      </c>
      <c r="E797" s="11" t="str">
        <f>'DA - 47'!B81</f>
        <v>Frame: 47 ----- Stem: 90x0  ----- Carbon Aerobar + 30 + bridge</v>
      </c>
      <c r="F797" s="11">
        <f t="shared" si="80"/>
        <v>1</v>
      </c>
      <c r="G797" s="11">
        <f t="shared" si="81"/>
        <v>1</v>
      </c>
      <c r="H797" s="11" t="str">
        <f t="shared" si="82"/>
        <v/>
      </c>
      <c r="I797" s="11">
        <f t="shared" si="83"/>
        <v>20</v>
      </c>
      <c r="J797" s="11">
        <v>1</v>
      </c>
      <c r="K797" s="11">
        <f t="shared" si="84"/>
        <v>1</v>
      </c>
      <c r="L797" s="11" t="str">
        <f>'DA - 47'!H81</f>
        <v xml:space="preserve">Aerobar Bolts: Top 30mm; Bottom 30mm </v>
      </c>
    </row>
    <row r="798" spans="1:12" x14ac:dyDescent="0.25">
      <c r="A798" s="11">
        <f>'DA - 47'!C82</f>
        <v>450</v>
      </c>
      <c r="B798" s="11">
        <f>'DA - 47'!D82</f>
        <v>420</v>
      </c>
      <c r="C798" s="11">
        <f>'DA - 47'!E82</f>
        <v>500</v>
      </c>
      <c r="D798" s="11">
        <f>'DA - 47'!G82</f>
        <v>535</v>
      </c>
      <c r="E798" s="11" t="str">
        <f>'DA - 47'!B82</f>
        <v>Frame: 47 ----- Stem: 90x0  ----- Carbon Aerobar + 30 + bridge + 5</v>
      </c>
      <c r="F798" s="11">
        <f t="shared" si="80"/>
        <v>1</v>
      </c>
      <c r="G798" s="11">
        <f t="shared" si="81"/>
        <v>1</v>
      </c>
      <c r="H798" s="11" t="str">
        <f t="shared" si="82"/>
        <v/>
      </c>
      <c r="I798" s="11">
        <f t="shared" si="83"/>
        <v>20</v>
      </c>
      <c r="J798" s="11">
        <v>1</v>
      </c>
      <c r="K798" s="11">
        <f t="shared" si="84"/>
        <v>1</v>
      </c>
      <c r="L798" s="11" t="str">
        <f>'DA - 47'!H82</f>
        <v xml:space="preserve">Aerobar Bolts: Top 35mm; Bottom 30mm </v>
      </c>
    </row>
    <row r="799" spans="1:12" x14ac:dyDescent="0.25">
      <c r="A799" s="11">
        <f>'DA - 47'!C83</f>
        <v>450</v>
      </c>
      <c r="B799" s="11">
        <f>'DA - 47'!D83</f>
        <v>420</v>
      </c>
      <c r="C799" s="11">
        <f>'DA - 47'!E83</f>
        <v>500</v>
      </c>
      <c r="D799" s="11">
        <f>'DA - 47'!G83</f>
        <v>540</v>
      </c>
      <c r="E799" s="11" t="str">
        <f>'DA - 47'!B83</f>
        <v>Frame: 47 ----- Stem: 90x0  ----- Carbon Aerobar + 40 + bridge</v>
      </c>
      <c r="F799" s="11">
        <f t="shared" si="80"/>
        <v>1</v>
      </c>
      <c r="G799" s="11" t="str">
        <f t="shared" si="81"/>
        <v/>
      </c>
      <c r="H799" s="11">
        <f t="shared" si="82"/>
        <v>1</v>
      </c>
      <c r="I799" s="11">
        <f t="shared" si="83"/>
        <v>20</v>
      </c>
      <c r="J799" s="11">
        <v>1</v>
      </c>
      <c r="K799" s="11">
        <f t="shared" si="84"/>
        <v>1</v>
      </c>
      <c r="L799" s="11" t="str">
        <f>'DA - 47'!H83</f>
        <v xml:space="preserve">Aerobar Bolts: Top 35mm; Bottom 30mm </v>
      </c>
    </row>
    <row r="800" spans="1:12" x14ac:dyDescent="0.25">
      <c r="A800" s="11">
        <f>'DA - 47'!C84</f>
        <v>450</v>
      </c>
      <c r="B800" s="11">
        <f>'DA - 47'!D84</f>
        <v>420</v>
      </c>
      <c r="C800" s="11">
        <f>'DA - 47'!E84</f>
        <v>500</v>
      </c>
      <c r="D800" s="11">
        <f>'DA - 47'!G84</f>
        <v>545</v>
      </c>
      <c r="E800" s="11" t="str">
        <f>'DA - 47'!B84</f>
        <v>Frame: 47 ----- Stem: 90x0  ----- Carbon Aerobar + 40 + bridge + 5</v>
      </c>
      <c r="F800" s="11">
        <f t="shared" si="80"/>
        <v>1</v>
      </c>
      <c r="G800" s="11" t="str">
        <f t="shared" si="81"/>
        <v/>
      </c>
      <c r="H800" s="11">
        <f t="shared" si="82"/>
        <v>1</v>
      </c>
      <c r="I800" s="11">
        <f t="shared" si="83"/>
        <v>20</v>
      </c>
      <c r="J800" s="11">
        <v>1</v>
      </c>
      <c r="K800" s="11">
        <f t="shared" si="84"/>
        <v>1</v>
      </c>
      <c r="L800" s="11" t="str">
        <f>'DA - 47'!H84</f>
        <v xml:space="preserve">Aerobar Bolts: Top 35mm; Bottom 30mm </v>
      </c>
    </row>
    <row r="801" spans="1:12" x14ac:dyDescent="0.25">
      <c r="A801" s="11">
        <f>'DA - 47'!C85</f>
        <v>450</v>
      </c>
      <c r="B801" s="11">
        <f>'DA - 47'!D85</f>
        <v>420</v>
      </c>
      <c r="C801" s="11">
        <f>'DA - 47'!E85</f>
        <v>500</v>
      </c>
      <c r="D801" s="11">
        <f>'DA - 47'!G85</f>
        <v>550</v>
      </c>
      <c r="E801" s="11" t="str">
        <f>'DA - 47'!B85</f>
        <v>Frame: 47 ----- Stem: 90x0  ----- Carbon Aerobar + 40 + bridge + 10</v>
      </c>
      <c r="F801" s="11">
        <f t="shared" si="80"/>
        <v>1</v>
      </c>
      <c r="G801" s="11" t="str">
        <f t="shared" si="81"/>
        <v/>
      </c>
      <c r="H801" s="11">
        <f t="shared" si="82"/>
        <v>1</v>
      </c>
      <c r="I801" s="11">
        <f t="shared" si="83"/>
        <v>20</v>
      </c>
      <c r="J801" s="11">
        <v>1</v>
      </c>
      <c r="K801" s="11">
        <f t="shared" si="84"/>
        <v>1</v>
      </c>
      <c r="L801" s="11" t="str">
        <f>'DA - 47'!H85</f>
        <v xml:space="preserve">Aerobar Bolts: Top 40mm; Bottom 30mm </v>
      </c>
    </row>
    <row r="802" spans="1:12" x14ac:dyDescent="0.25">
      <c r="A802" s="11">
        <f>'DA - 47'!C86</f>
        <v>450</v>
      </c>
      <c r="B802" s="11">
        <f>'DA - 47'!D86</f>
        <v>420</v>
      </c>
      <c r="C802" s="11">
        <f>'DA - 47'!E86</f>
        <v>500</v>
      </c>
      <c r="D802" s="11">
        <f>'DA - 47'!G86</f>
        <v>555</v>
      </c>
      <c r="E802" s="11" t="str">
        <f>'DA - 47'!B86</f>
        <v>Frame: 47 ----- Stem: 90x0  ----- Carbon Aerobar + 40 + bridge + 10 + 5</v>
      </c>
      <c r="F802" s="11">
        <f t="shared" si="80"/>
        <v>1</v>
      </c>
      <c r="G802" s="11" t="str">
        <f t="shared" si="81"/>
        <v/>
      </c>
      <c r="H802" s="11">
        <f t="shared" si="82"/>
        <v>1</v>
      </c>
      <c r="I802" s="11">
        <f t="shared" si="83"/>
        <v>20</v>
      </c>
      <c r="J802" s="11">
        <v>1</v>
      </c>
      <c r="K802" s="11">
        <f t="shared" si="84"/>
        <v>1</v>
      </c>
      <c r="L802" s="11" t="str">
        <f>'DA - 47'!H86</f>
        <v xml:space="preserve">Aerobar Bolts: Top 45mm; Bottom 30mm </v>
      </c>
    </row>
    <row r="803" spans="1:12" x14ac:dyDescent="0.25">
      <c r="A803" s="11">
        <f>'DA - 47'!C87</f>
        <v>470</v>
      </c>
      <c r="B803" s="11">
        <f>'DA - 47'!D87</f>
        <v>440</v>
      </c>
      <c r="C803" s="11">
        <f>'DA - 47'!E87</f>
        <v>520</v>
      </c>
      <c r="D803" s="11">
        <f>'DA - 47'!G87</f>
        <v>0</v>
      </c>
      <c r="E803" s="11" t="str">
        <f>'DA - 47'!B87</f>
        <v>Frame: 47 ----- Stem: 110x0  ----- Carbon Aerobar</v>
      </c>
      <c r="F803" s="11">
        <f t="shared" si="80"/>
        <v>1</v>
      </c>
      <c r="G803" s="11" t="str">
        <f t="shared" si="81"/>
        <v/>
      </c>
      <c r="H803" s="11" t="str">
        <f t="shared" si="82"/>
        <v/>
      </c>
      <c r="I803" s="11">
        <f t="shared" si="83"/>
        <v>0</v>
      </c>
      <c r="J803" s="11">
        <v>1</v>
      </c>
      <c r="K803" s="11">
        <f t="shared" si="84"/>
        <v>1</v>
      </c>
      <c r="L803" s="11" t="str">
        <f>'DA - 47'!H87</f>
        <v xml:space="preserve">Aerobar Bolts: Top N/A; Bottom N/A </v>
      </c>
    </row>
    <row r="804" spans="1:12" x14ac:dyDescent="0.25">
      <c r="A804" s="11">
        <f>'DA - 47'!C88</f>
        <v>470</v>
      </c>
      <c r="B804" s="11">
        <f>'DA - 47'!D88</f>
        <v>440</v>
      </c>
      <c r="C804" s="11">
        <f>'DA - 47'!E88</f>
        <v>520</v>
      </c>
      <c r="D804" s="11">
        <f>'DA - 47'!G88</f>
        <v>500</v>
      </c>
      <c r="E804" s="11" t="str">
        <f>'DA - 47'!B88</f>
        <v>Frame: 47 ----- Stem: 110x0  ----- Carbon Aerobar + 5</v>
      </c>
      <c r="F804" s="11">
        <f t="shared" si="80"/>
        <v>1</v>
      </c>
      <c r="G804" s="11" t="str">
        <f t="shared" si="81"/>
        <v/>
      </c>
      <c r="H804" s="11" t="str">
        <f t="shared" si="82"/>
        <v/>
      </c>
      <c r="I804" s="11">
        <f t="shared" si="83"/>
        <v>0</v>
      </c>
      <c r="J804" s="11">
        <v>1</v>
      </c>
      <c r="K804" s="11">
        <f t="shared" si="84"/>
        <v>1</v>
      </c>
      <c r="L804" s="11" t="str">
        <f>'DA - 47'!H88</f>
        <v xml:space="preserve">Aerobar Bolts: Top 45mm; Bottom N/A </v>
      </c>
    </row>
    <row r="805" spans="1:12" x14ac:dyDescent="0.25">
      <c r="A805" s="11">
        <f>'DA - 47'!C89</f>
        <v>470</v>
      </c>
      <c r="B805" s="11">
        <f>'DA - 47'!D89</f>
        <v>440</v>
      </c>
      <c r="C805" s="11">
        <f>'DA - 47'!E89</f>
        <v>520</v>
      </c>
      <c r="D805" s="11">
        <f>'DA - 47'!G89</f>
        <v>505</v>
      </c>
      <c r="E805" s="11" t="str">
        <f>'DA - 47'!B89</f>
        <v>Frame: 47 ----- Stem: 110x0  ----- Carbon Aerobar + 10</v>
      </c>
      <c r="F805" s="11">
        <f t="shared" si="80"/>
        <v>1</v>
      </c>
      <c r="G805" s="11" t="str">
        <f t="shared" si="81"/>
        <v/>
      </c>
      <c r="H805" s="11" t="str">
        <f t="shared" si="82"/>
        <v/>
      </c>
      <c r="I805" s="11">
        <f t="shared" si="83"/>
        <v>0</v>
      </c>
      <c r="J805" s="11">
        <v>1</v>
      </c>
      <c r="K805" s="11">
        <f t="shared" si="84"/>
        <v>1</v>
      </c>
      <c r="L805" s="11" t="str">
        <f>'DA - 47'!H89</f>
        <v xml:space="preserve">Aerobar Bolts: Top 50mm; Bottom N/A </v>
      </c>
    </row>
    <row r="806" spans="1:12" x14ac:dyDescent="0.25">
      <c r="A806" s="11">
        <f>'DA - 47'!C90</f>
        <v>470</v>
      </c>
      <c r="B806" s="11">
        <f>'DA - 47'!D90</f>
        <v>440</v>
      </c>
      <c r="C806" s="11">
        <f>'DA - 47'!E90</f>
        <v>520</v>
      </c>
      <c r="D806" s="11">
        <f>'DA - 47'!G90</f>
        <v>510</v>
      </c>
      <c r="E806" s="11" t="str">
        <f>'DA - 47'!B90</f>
        <v>Frame: 47 ----- Stem: 110x0  ----- Carbon Aerobar + 5 + 10</v>
      </c>
      <c r="F806" s="11">
        <f t="shared" si="80"/>
        <v>1</v>
      </c>
      <c r="G806" s="11" t="str">
        <f t="shared" si="81"/>
        <v/>
      </c>
      <c r="H806" s="11" t="str">
        <f t="shared" si="82"/>
        <v/>
      </c>
      <c r="I806" s="11">
        <f t="shared" si="83"/>
        <v>0</v>
      </c>
      <c r="J806" s="11">
        <v>1</v>
      </c>
      <c r="K806" s="11">
        <f t="shared" si="84"/>
        <v>1</v>
      </c>
      <c r="L806" s="11" t="str">
        <f>'DA - 47'!H90</f>
        <v xml:space="preserve">Aerobar Bolts: Top 55mm; Bottom N/A </v>
      </c>
    </row>
    <row r="807" spans="1:12" x14ac:dyDescent="0.25">
      <c r="A807" s="11">
        <f>'DA - 47'!C91</f>
        <v>470</v>
      </c>
      <c r="B807" s="11">
        <f>'DA - 47'!D91</f>
        <v>440</v>
      </c>
      <c r="C807" s="11">
        <f>'DA - 47'!E91</f>
        <v>520</v>
      </c>
      <c r="D807" s="11">
        <f>'DA - 47'!G91</f>
        <v>515</v>
      </c>
      <c r="E807" s="11" t="str">
        <f>'DA - 47'!B91</f>
        <v>Frame: 47 ----- Stem: 110x0  ----- Carbon Aerobar + 20</v>
      </c>
      <c r="F807" s="11">
        <f t="shared" si="80"/>
        <v>1</v>
      </c>
      <c r="G807" s="11" t="str">
        <f t="shared" si="81"/>
        <v/>
      </c>
      <c r="H807" s="11" t="str">
        <f t="shared" si="82"/>
        <v/>
      </c>
      <c r="I807" s="11">
        <f t="shared" si="83"/>
        <v>0</v>
      </c>
      <c r="J807" s="11">
        <v>1</v>
      </c>
      <c r="K807" s="11">
        <f t="shared" si="84"/>
        <v>1</v>
      </c>
      <c r="L807" s="11" t="str">
        <f>'DA - 47'!H91</f>
        <v xml:space="preserve">Aerobar Bolts: Top 20mm; Bottom 30mm </v>
      </c>
    </row>
    <row r="808" spans="1:12" x14ac:dyDescent="0.25">
      <c r="A808" s="11">
        <f>'DA - 47'!C92</f>
        <v>470</v>
      </c>
      <c r="B808" s="11">
        <f>'DA - 47'!D92</f>
        <v>440</v>
      </c>
      <c r="C808" s="11">
        <f>'DA - 47'!E92</f>
        <v>520</v>
      </c>
      <c r="D808" s="11">
        <f>'DA - 47'!G92</f>
        <v>520</v>
      </c>
      <c r="E808" s="11" t="str">
        <f>'DA - 47'!B92</f>
        <v>Frame: 47 ----- Stem: 110x0  ----- Carbon Aerobar + 20 + 5</v>
      </c>
      <c r="F808" s="11">
        <f t="shared" si="80"/>
        <v>1</v>
      </c>
      <c r="G808" s="11" t="str">
        <f t="shared" si="81"/>
        <v/>
      </c>
      <c r="H808" s="11" t="str">
        <f t="shared" si="82"/>
        <v/>
      </c>
      <c r="I808" s="11">
        <f t="shared" si="83"/>
        <v>0</v>
      </c>
      <c r="J808" s="11">
        <v>1</v>
      </c>
      <c r="K808" s="11">
        <f t="shared" si="84"/>
        <v>1</v>
      </c>
      <c r="L808" s="11" t="str">
        <f>'DA - 47'!H92</f>
        <v xml:space="preserve">Aerobar Bolts: Top 25mm; Bottom 30mm </v>
      </c>
    </row>
    <row r="809" spans="1:12" x14ac:dyDescent="0.25">
      <c r="A809" s="11">
        <f>'DA - 47'!C93</f>
        <v>470</v>
      </c>
      <c r="B809" s="11">
        <f>'DA - 47'!D93</f>
        <v>440</v>
      </c>
      <c r="C809" s="11">
        <f>'DA - 47'!E93</f>
        <v>520</v>
      </c>
      <c r="D809" s="11">
        <f>'DA - 47'!G93</f>
        <v>520</v>
      </c>
      <c r="E809" s="11" t="str">
        <f>'DA - 47'!B93</f>
        <v>Frame: 47 ----- Stem: 110x0  ----- Carbon Aerobar + 20 + bridge</v>
      </c>
      <c r="F809" s="11">
        <f t="shared" si="80"/>
        <v>1</v>
      </c>
      <c r="G809" s="11" t="str">
        <f t="shared" si="81"/>
        <v/>
      </c>
      <c r="H809" s="11" t="str">
        <f t="shared" si="82"/>
        <v/>
      </c>
      <c r="I809" s="11">
        <f t="shared" si="83"/>
        <v>0</v>
      </c>
      <c r="J809" s="11">
        <v>1</v>
      </c>
      <c r="K809" s="11">
        <f t="shared" si="84"/>
        <v>1</v>
      </c>
      <c r="L809" s="11" t="str">
        <f>'DA - 47'!H93</f>
        <v xml:space="preserve">Aerobar Bolts: Top 25mm; Bottom 30mm </v>
      </c>
    </row>
    <row r="810" spans="1:12" x14ac:dyDescent="0.25">
      <c r="A810" s="11">
        <f>'DA - 47'!C94</f>
        <v>470</v>
      </c>
      <c r="B810" s="11">
        <f>'DA - 47'!D94</f>
        <v>440</v>
      </c>
      <c r="C810" s="11">
        <f>'DA - 47'!E94</f>
        <v>520</v>
      </c>
      <c r="D810" s="11">
        <f>'DA - 47'!G94</f>
        <v>525</v>
      </c>
      <c r="E810" s="11" t="str">
        <f>'DA - 47'!B94</f>
        <v>Frame: 47 ----- Stem: 110x0  ----- Carbon Aerobar + 30</v>
      </c>
      <c r="F810" s="11">
        <f t="shared" si="80"/>
        <v>1</v>
      </c>
      <c r="G810" s="11">
        <f t="shared" si="81"/>
        <v>1</v>
      </c>
      <c r="H810" s="11" t="str">
        <f t="shared" si="82"/>
        <v/>
      </c>
      <c r="I810" s="11">
        <f t="shared" si="83"/>
        <v>0</v>
      </c>
      <c r="J810" s="11">
        <v>1</v>
      </c>
      <c r="K810" s="11">
        <f t="shared" si="84"/>
        <v>1</v>
      </c>
      <c r="L810" s="11" t="str">
        <f>'DA - 47'!H94</f>
        <v xml:space="preserve">Aerobar Bolts: Top 25mm; Bottom 30mm </v>
      </c>
    </row>
    <row r="811" spans="1:12" x14ac:dyDescent="0.25">
      <c r="A811" s="11">
        <f>'DA - 47'!C95</f>
        <v>470</v>
      </c>
      <c r="B811" s="11">
        <f>'DA - 47'!D95</f>
        <v>440</v>
      </c>
      <c r="C811" s="11">
        <f>'DA - 47'!E95</f>
        <v>520</v>
      </c>
      <c r="D811" s="11">
        <f>'DA - 47'!G95</f>
        <v>525</v>
      </c>
      <c r="E811" s="11" t="str">
        <f>'DA - 47'!B95</f>
        <v>Frame: 47 ----- Stem: 110x0  ----- Carbon Aerobar + 20 + bridge + 5</v>
      </c>
      <c r="F811" s="11">
        <f t="shared" si="80"/>
        <v>1</v>
      </c>
      <c r="G811" s="11" t="str">
        <f t="shared" si="81"/>
        <v/>
      </c>
      <c r="H811" s="11" t="str">
        <f t="shared" si="82"/>
        <v/>
      </c>
      <c r="I811" s="11">
        <f t="shared" si="83"/>
        <v>0</v>
      </c>
      <c r="J811" s="11">
        <v>1</v>
      </c>
      <c r="K811" s="11">
        <f t="shared" si="84"/>
        <v>1</v>
      </c>
      <c r="L811" s="11" t="str">
        <f>'DA - 47'!H95</f>
        <v xml:space="preserve">Aerobar Bolts: Top 30mm; Bottom 30mm </v>
      </c>
    </row>
    <row r="812" spans="1:12" x14ac:dyDescent="0.25">
      <c r="A812" s="11">
        <f>'DA - 47'!C96</f>
        <v>470</v>
      </c>
      <c r="B812" s="11">
        <f>'DA - 47'!D96</f>
        <v>440</v>
      </c>
      <c r="C812" s="11">
        <f>'DA - 47'!E96</f>
        <v>520</v>
      </c>
      <c r="D812" s="11">
        <f>'DA - 47'!G96</f>
        <v>530</v>
      </c>
      <c r="E812" s="11" t="str">
        <f>'DA - 47'!B96</f>
        <v>Frame: 47 ----- Stem: 110x0  ----- Carbon Aerobar + 30 + bridge</v>
      </c>
      <c r="F812" s="11">
        <f t="shared" si="80"/>
        <v>1</v>
      </c>
      <c r="G812" s="11">
        <f t="shared" si="81"/>
        <v>1</v>
      </c>
      <c r="H812" s="11" t="str">
        <f t="shared" si="82"/>
        <v/>
      </c>
      <c r="I812" s="11">
        <f t="shared" si="83"/>
        <v>0</v>
      </c>
      <c r="J812" s="11">
        <v>1</v>
      </c>
      <c r="K812" s="11">
        <f t="shared" si="84"/>
        <v>1</v>
      </c>
      <c r="L812" s="11" t="str">
        <f>'DA - 47'!H96</f>
        <v xml:space="preserve">Aerobar Bolts: Top 30mm; Bottom 30mm </v>
      </c>
    </row>
    <row r="813" spans="1:12" x14ac:dyDescent="0.25">
      <c r="A813" s="11">
        <f>'DA - 47'!C97</f>
        <v>470</v>
      </c>
      <c r="B813" s="11">
        <f>'DA - 47'!D97</f>
        <v>440</v>
      </c>
      <c r="C813" s="11">
        <f>'DA - 47'!E97</f>
        <v>520</v>
      </c>
      <c r="D813" s="11">
        <f>'DA - 47'!G97</f>
        <v>535</v>
      </c>
      <c r="E813" s="11" t="str">
        <f>'DA - 47'!B97</f>
        <v>Frame: 47 ----- Stem: 110x0  ----- Carbon Aerobar + 30 + bridge + 5</v>
      </c>
      <c r="F813" s="11">
        <f t="shared" si="80"/>
        <v>1</v>
      </c>
      <c r="G813" s="11">
        <f t="shared" si="81"/>
        <v>1</v>
      </c>
      <c r="H813" s="11" t="str">
        <f t="shared" si="82"/>
        <v/>
      </c>
      <c r="I813" s="11">
        <f t="shared" si="83"/>
        <v>0</v>
      </c>
      <c r="J813" s="11">
        <v>1</v>
      </c>
      <c r="K813" s="11">
        <f t="shared" si="84"/>
        <v>1</v>
      </c>
      <c r="L813" s="11" t="str">
        <f>'DA - 47'!H97</f>
        <v xml:space="preserve">Aerobar Bolts: Top 35mm; Bottom 30mm </v>
      </c>
    </row>
    <row r="814" spans="1:12" x14ac:dyDescent="0.25">
      <c r="A814" s="11">
        <f>'DA - 47'!C98</f>
        <v>470</v>
      </c>
      <c r="B814" s="11">
        <f>'DA - 47'!D98</f>
        <v>440</v>
      </c>
      <c r="C814" s="11">
        <f>'DA - 47'!E98</f>
        <v>520</v>
      </c>
      <c r="D814" s="11">
        <f>'DA - 47'!G98</f>
        <v>540</v>
      </c>
      <c r="E814" s="11" t="str">
        <f>'DA - 47'!B98</f>
        <v>Frame: 47 ----- Stem: 110x0  ----- Carbon Aerobar + 40 + bridge</v>
      </c>
      <c r="F814" s="11">
        <f t="shared" si="80"/>
        <v>1</v>
      </c>
      <c r="G814" s="11" t="str">
        <f t="shared" si="81"/>
        <v/>
      </c>
      <c r="H814" s="11">
        <f t="shared" si="82"/>
        <v>1</v>
      </c>
      <c r="I814" s="11">
        <f t="shared" si="83"/>
        <v>0</v>
      </c>
      <c r="J814" s="11">
        <v>1</v>
      </c>
      <c r="K814" s="11">
        <f t="shared" si="84"/>
        <v>1</v>
      </c>
      <c r="L814" s="11" t="str">
        <f>'DA - 47'!H98</f>
        <v xml:space="preserve">Aerobar Bolts: Top 35mm; Bottom 30mm </v>
      </c>
    </row>
    <row r="815" spans="1:12" x14ac:dyDescent="0.25">
      <c r="A815" s="11">
        <f>'DA - 47'!C99</f>
        <v>470</v>
      </c>
      <c r="B815" s="11">
        <f>'DA - 47'!D99</f>
        <v>440</v>
      </c>
      <c r="C815" s="11">
        <f>'DA - 47'!E99</f>
        <v>520</v>
      </c>
      <c r="D815" s="11">
        <f>'DA - 47'!G99</f>
        <v>545</v>
      </c>
      <c r="E815" s="11" t="str">
        <f>'DA - 47'!B99</f>
        <v>Frame: 47 ----- Stem: 110x0  ----- Carbon Aerobar + 40 + bridge + 5</v>
      </c>
      <c r="F815" s="11">
        <f t="shared" si="80"/>
        <v>1</v>
      </c>
      <c r="G815" s="11" t="str">
        <f t="shared" si="81"/>
        <v/>
      </c>
      <c r="H815" s="11">
        <f t="shared" si="82"/>
        <v>1</v>
      </c>
      <c r="I815" s="11">
        <f t="shared" si="83"/>
        <v>0</v>
      </c>
      <c r="J815" s="11">
        <v>1</v>
      </c>
      <c r="K815" s="11">
        <f t="shared" si="84"/>
        <v>1</v>
      </c>
      <c r="L815" s="11" t="str">
        <f>'DA - 47'!H99</f>
        <v xml:space="preserve">Aerobar Bolts: Top 35mm; Bottom 30mm </v>
      </c>
    </row>
    <row r="816" spans="1:12" x14ac:dyDescent="0.25">
      <c r="A816" s="11">
        <f>'DA - 47'!C100</f>
        <v>470</v>
      </c>
      <c r="B816" s="11">
        <f>'DA - 47'!D100</f>
        <v>440</v>
      </c>
      <c r="C816" s="11">
        <f>'DA - 47'!E100</f>
        <v>520</v>
      </c>
      <c r="D816" s="11">
        <f>'DA - 47'!G100</f>
        <v>550</v>
      </c>
      <c r="E816" s="11" t="str">
        <f>'DA - 47'!B100</f>
        <v>Frame: 47 ----- Stem: 110x0  ----- Carbon Aerobar + 40 + bridge + 10</v>
      </c>
      <c r="F816" s="11">
        <f t="shared" si="80"/>
        <v>1</v>
      </c>
      <c r="G816" s="11" t="str">
        <f t="shared" si="81"/>
        <v/>
      </c>
      <c r="H816" s="11">
        <f t="shared" si="82"/>
        <v>1</v>
      </c>
      <c r="I816" s="11">
        <f t="shared" si="83"/>
        <v>0</v>
      </c>
      <c r="J816" s="11">
        <v>1</v>
      </c>
      <c r="K816" s="11">
        <f t="shared" si="84"/>
        <v>1</v>
      </c>
      <c r="L816" s="11" t="str">
        <f>'DA - 47'!H100</f>
        <v xml:space="preserve">Aerobar Bolts: Top 40mm; Bottom 30mm </v>
      </c>
    </row>
    <row r="817" spans="1:12" x14ac:dyDescent="0.25">
      <c r="A817" s="11">
        <f>'DA - 47'!C101</f>
        <v>470</v>
      </c>
      <c r="B817" s="11">
        <f>'DA - 47'!D101</f>
        <v>440</v>
      </c>
      <c r="C817" s="11">
        <f>'DA - 47'!E101</f>
        <v>520</v>
      </c>
      <c r="D817" s="11">
        <f>'DA - 47'!G101</f>
        <v>555</v>
      </c>
      <c r="E817" s="11" t="str">
        <f>'DA - 47'!B101</f>
        <v>Frame: 47 ----- Stem: 110x0  ----- Carbon Aerobar + 40 + bridge + 10 + 5</v>
      </c>
      <c r="F817" s="11">
        <f t="shared" si="80"/>
        <v>1</v>
      </c>
      <c r="G817" s="11" t="str">
        <f t="shared" si="81"/>
        <v/>
      </c>
      <c r="H817" s="11">
        <f t="shared" si="82"/>
        <v>1</v>
      </c>
      <c r="I817" s="11">
        <f t="shared" si="83"/>
        <v>0</v>
      </c>
      <c r="J817" s="11">
        <v>1</v>
      </c>
      <c r="K817" s="11">
        <f t="shared" si="84"/>
        <v>1</v>
      </c>
      <c r="L817" s="11" t="str">
        <f>'DA - 47'!H101</f>
        <v xml:space="preserve">Aerobar Bolts: Top 45mm; Bottom 30mm </v>
      </c>
    </row>
    <row r="818" spans="1:12" x14ac:dyDescent="0.25">
      <c r="A818" s="11">
        <f>'DA - 47'!C102</f>
        <v>425</v>
      </c>
      <c r="B818" s="11">
        <f>'DA - 47'!D102</f>
        <v>395</v>
      </c>
      <c r="C818" s="11">
        <f>'DA - 47'!E102</f>
        <v>475</v>
      </c>
      <c r="D818" s="11">
        <f>'DA - 47'!G102</f>
        <v>540</v>
      </c>
      <c r="E818" s="11" t="str">
        <f>'DA - 47'!B102</f>
        <v>Frame: 47 ----- Stem: 70x30  ----- Aluminium Aerobar</v>
      </c>
      <c r="F818" s="11">
        <f t="shared" si="80"/>
        <v>1</v>
      </c>
      <c r="G818" s="11" t="str">
        <f t="shared" si="81"/>
        <v/>
      </c>
      <c r="H818" s="11" t="str">
        <f t="shared" si="82"/>
        <v/>
      </c>
      <c r="I818" s="11">
        <f t="shared" si="83"/>
        <v>45</v>
      </c>
      <c r="J818" s="11">
        <v>1</v>
      </c>
      <c r="K818" s="11">
        <f t="shared" si="84"/>
        <v>1</v>
      </c>
      <c r="L818" s="11" t="str">
        <f>'DA - 47'!H102</f>
        <v xml:space="preserve">Aerobar Bolts: Top 20mm; Bottom N/A </v>
      </c>
    </row>
    <row r="819" spans="1:12" x14ac:dyDescent="0.25">
      <c r="A819" s="11">
        <f>'DA - 47'!C103</f>
        <v>425</v>
      </c>
      <c r="B819" s="11">
        <f>'DA - 47'!D103</f>
        <v>395</v>
      </c>
      <c r="C819" s="11">
        <f>'DA - 47'!E103</f>
        <v>475</v>
      </c>
      <c r="D819" s="11">
        <f>'DA - 47'!G103</f>
        <v>545</v>
      </c>
      <c r="E819" s="11" t="str">
        <f>'DA - 47'!B103</f>
        <v>Frame: 47 ----- Stem: 70x30  ----- Aluminium Aerobar + 5</v>
      </c>
      <c r="F819" s="11">
        <f t="shared" si="80"/>
        <v>1</v>
      </c>
      <c r="G819" s="11" t="str">
        <f t="shared" si="81"/>
        <v/>
      </c>
      <c r="H819" s="11" t="str">
        <f t="shared" si="82"/>
        <v/>
      </c>
      <c r="I819" s="11">
        <f t="shared" si="83"/>
        <v>45</v>
      </c>
      <c r="J819" s="11">
        <v>1</v>
      </c>
      <c r="K819" s="11">
        <f t="shared" si="84"/>
        <v>1</v>
      </c>
      <c r="L819" s="11" t="str">
        <f>'DA - 47'!H103</f>
        <v xml:space="preserve">Aerobar Bolts: Top 25mm; Bottom N/A </v>
      </c>
    </row>
    <row r="820" spans="1:12" x14ac:dyDescent="0.25">
      <c r="A820" s="11">
        <f>'DA - 47'!C104</f>
        <v>425</v>
      </c>
      <c r="B820" s="11">
        <f>'DA - 47'!D104</f>
        <v>395</v>
      </c>
      <c r="C820" s="11">
        <f>'DA - 47'!E104</f>
        <v>475</v>
      </c>
      <c r="D820" s="11">
        <f>'DA - 47'!G104</f>
        <v>550</v>
      </c>
      <c r="E820" s="11" t="str">
        <f>'DA - 47'!B104</f>
        <v>Frame: 47 ----- Stem: 70x30  ----- Aluminium Aerobar + 10</v>
      </c>
      <c r="F820" s="11">
        <f t="shared" si="80"/>
        <v>1</v>
      </c>
      <c r="G820" s="11" t="str">
        <f t="shared" si="81"/>
        <v/>
      </c>
      <c r="H820" s="11" t="str">
        <f t="shared" si="82"/>
        <v/>
      </c>
      <c r="I820" s="11">
        <f t="shared" si="83"/>
        <v>45</v>
      </c>
      <c r="J820" s="11">
        <v>1</v>
      </c>
      <c r="K820" s="11">
        <f t="shared" si="84"/>
        <v>1</v>
      </c>
      <c r="L820" s="11" t="str">
        <f>'DA - 47'!H104</f>
        <v xml:space="preserve">Aerobar Bolts: Top 30mm; Bottom N/A </v>
      </c>
    </row>
    <row r="821" spans="1:12" x14ac:dyDescent="0.25">
      <c r="A821" s="11">
        <f>'DA - 47'!C105</f>
        <v>425</v>
      </c>
      <c r="B821" s="11">
        <f>'DA - 47'!D105</f>
        <v>395</v>
      </c>
      <c r="C821" s="11">
        <f>'DA - 47'!E105</f>
        <v>475</v>
      </c>
      <c r="D821" s="11">
        <f>'DA - 47'!G105</f>
        <v>555</v>
      </c>
      <c r="E821" s="11" t="str">
        <f>'DA - 47'!B105</f>
        <v>Frame: 47 ----- Stem: 70x30  ----- Aluminium Aerobar + 5 + 10</v>
      </c>
      <c r="F821" s="11">
        <f t="shared" si="80"/>
        <v>1</v>
      </c>
      <c r="G821" s="11" t="str">
        <f t="shared" si="81"/>
        <v/>
      </c>
      <c r="H821" s="11" t="str">
        <f t="shared" si="82"/>
        <v/>
      </c>
      <c r="I821" s="11">
        <f t="shared" si="83"/>
        <v>45</v>
      </c>
      <c r="J821" s="11">
        <v>1</v>
      </c>
      <c r="K821" s="11">
        <f t="shared" si="84"/>
        <v>1</v>
      </c>
      <c r="L821" s="11" t="str">
        <f>'DA - 47'!H105</f>
        <v xml:space="preserve">Aerobar Bolts: Top 35mm; Bottom N/A </v>
      </c>
    </row>
    <row r="822" spans="1:12" x14ac:dyDescent="0.25">
      <c r="A822" s="11">
        <f>'DA - 47'!C106</f>
        <v>425</v>
      </c>
      <c r="B822" s="11">
        <f>'DA - 47'!D106</f>
        <v>395</v>
      </c>
      <c r="C822" s="11">
        <f>'DA - 47'!E106</f>
        <v>475</v>
      </c>
      <c r="D822" s="11">
        <f>'DA - 47'!G106</f>
        <v>560</v>
      </c>
      <c r="E822" s="11" t="str">
        <f>'DA - 47'!B106</f>
        <v>Frame: 47 ----- Stem: 70x30  ----- Aluminium Aerobar + 20</v>
      </c>
      <c r="F822" s="11">
        <f t="shared" si="80"/>
        <v>1</v>
      </c>
      <c r="G822" s="11" t="str">
        <f t="shared" si="81"/>
        <v/>
      </c>
      <c r="H822" s="11" t="str">
        <f t="shared" si="82"/>
        <v/>
      </c>
      <c r="I822" s="11">
        <f t="shared" si="83"/>
        <v>45</v>
      </c>
      <c r="J822" s="11">
        <v>1</v>
      </c>
      <c r="K822" s="11">
        <f t="shared" si="84"/>
        <v>1</v>
      </c>
      <c r="L822" s="11" t="str">
        <f>'DA - 47'!H106</f>
        <v xml:space="preserve">Aerobar Bolts: Top 20mm; Bottom 15mm </v>
      </c>
    </row>
    <row r="823" spans="1:12" x14ac:dyDescent="0.25">
      <c r="A823" s="11">
        <f>'DA - 47'!C107</f>
        <v>425</v>
      </c>
      <c r="B823" s="11">
        <f>'DA - 47'!D107</f>
        <v>395</v>
      </c>
      <c r="C823" s="11">
        <f>'DA - 47'!E107</f>
        <v>475</v>
      </c>
      <c r="D823" s="11">
        <f>'DA - 47'!G107</f>
        <v>565</v>
      </c>
      <c r="E823" s="11" t="str">
        <f>'DA - 47'!B107</f>
        <v>Frame: 47 ----- Stem: 70x30  ----- Aluminium Aerobar + 20 + 5</v>
      </c>
      <c r="F823" s="11">
        <f t="shared" si="80"/>
        <v>1</v>
      </c>
      <c r="G823" s="11" t="str">
        <f t="shared" si="81"/>
        <v/>
      </c>
      <c r="H823" s="11" t="str">
        <f t="shared" si="82"/>
        <v/>
      </c>
      <c r="I823" s="11">
        <f t="shared" si="83"/>
        <v>45</v>
      </c>
      <c r="J823" s="11">
        <v>1</v>
      </c>
      <c r="K823" s="11">
        <f t="shared" si="84"/>
        <v>1</v>
      </c>
      <c r="L823" s="11" t="str">
        <f>'DA - 47'!H107</f>
        <v xml:space="preserve">Aerobar Bolts: Top 25mm; Bottom 15mm </v>
      </c>
    </row>
    <row r="824" spans="1:12" x14ac:dyDescent="0.25">
      <c r="A824" s="11">
        <f>'DA - 47'!C108</f>
        <v>425</v>
      </c>
      <c r="B824" s="11">
        <f>'DA - 47'!D108</f>
        <v>395</v>
      </c>
      <c r="C824" s="11">
        <f>'DA - 47'!E108</f>
        <v>475</v>
      </c>
      <c r="D824" s="11">
        <f>'DA - 47'!G108</f>
        <v>565</v>
      </c>
      <c r="E824" s="11" t="str">
        <f>'DA - 47'!B108</f>
        <v>Frame: 47 ----- Stem: 70x30  ----- Aluminium Aerobar + 20 + bridge</v>
      </c>
      <c r="F824" s="11">
        <f t="shared" si="80"/>
        <v>1</v>
      </c>
      <c r="G824" s="11" t="str">
        <f t="shared" si="81"/>
        <v/>
      </c>
      <c r="H824" s="11" t="str">
        <f t="shared" si="82"/>
        <v/>
      </c>
      <c r="I824" s="11">
        <f t="shared" si="83"/>
        <v>45</v>
      </c>
      <c r="J824" s="11">
        <v>1</v>
      </c>
      <c r="K824" s="11">
        <f t="shared" si="84"/>
        <v>1</v>
      </c>
      <c r="L824" s="11" t="str">
        <f>'DA - 47'!H108</f>
        <v xml:space="preserve">Aerobar Bolts: Top 25mm; Bottom 15mm </v>
      </c>
    </row>
    <row r="825" spans="1:12" x14ac:dyDescent="0.25">
      <c r="A825" s="11">
        <f>'DA - 47'!C109</f>
        <v>425</v>
      </c>
      <c r="B825" s="11">
        <f>'DA - 47'!D109</f>
        <v>395</v>
      </c>
      <c r="C825" s="11">
        <f>'DA - 47'!E109</f>
        <v>475</v>
      </c>
      <c r="D825" s="11">
        <f>'DA - 47'!G109</f>
        <v>570</v>
      </c>
      <c r="E825" s="11" t="str">
        <f>'DA - 47'!B109</f>
        <v>Frame: 47 ----- Stem: 70x30  ----- Aluminium Aerobar + 30</v>
      </c>
      <c r="F825" s="11">
        <f t="shared" si="80"/>
        <v>1</v>
      </c>
      <c r="G825" s="11">
        <f t="shared" si="81"/>
        <v>1</v>
      </c>
      <c r="H825" s="11" t="str">
        <f t="shared" si="82"/>
        <v/>
      </c>
      <c r="I825" s="11">
        <f t="shared" si="83"/>
        <v>45</v>
      </c>
      <c r="J825" s="11">
        <v>1</v>
      </c>
      <c r="K825" s="11">
        <f t="shared" si="84"/>
        <v>1</v>
      </c>
      <c r="L825" s="11" t="str">
        <f>'DA - 47'!H109</f>
        <v xml:space="preserve">Aerobar Bolts: Top 25mm; Bottom 15mm </v>
      </c>
    </row>
    <row r="826" spans="1:12" x14ac:dyDescent="0.25">
      <c r="A826" s="11">
        <f>'DA - 47'!C110</f>
        <v>425</v>
      </c>
      <c r="B826" s="11">
        <f>'DA - 47'!D110</f>
        <v>395</v>
      </c>
      <c r="C826" s="11">
        <f>'DA - 47'!E110</f>
        <v>475</v>
      </c>
      <c r="D826" s="11">
        <f>'DA - 47'!G110</f>
        <v>570</v>
      </c>
      <c r="E826" s="11" t="str">
        <f>'DA - 47'!B110</f>
        <v>Frame: 47 ----- Stem: 70x30  ----- Aluminium Aerobar + 20 + bridge + 5</v>
      </c>
      <c r="F826" s="11">
        <f t="shared" si="80"/>
        <v>1</v>
      </c>
      <c r="G826" s="11" t="str">
        <f t="shared" si="81"/>
        <v/>
      </c>
      <c r="H826" s="11" t="str">
        <f t="shared" si="82"/>
        <v/>
      </c>
      <c r="I826" s="11">
        <f t="shared" si="83"/>
        <v>45</v>
      </c>
      <c r="J826" s="11">
        <v>1</v>
      </c>
      <c r="K826" s="11">
        <f t="shared" si="84"/>
        <v>1</v>
      </c>
      <c r="L826" s="11" t="str">
        <f>'DA - 47'!H110</f>
        <v xml:space="preserve">Aerobar Bolts: Top 25mm; Bottom 15mm </v>
      </c>
    </row>
    <row r="827" spans="1:12" x14ac:dyDescent="0.25">
      <c r="A827" s="11">
        <f>'DA - 47'!C111</f>
        <v>425</v>
      </c>
      <c r="B827" s="11">
        <f>'DA - 47'!D111</f>
        <v>395</v>
      </c>
      <c r="C827" s="11">
        <f>'DA - 47'!E111</f>
        <v>475</v>
      </c>
      <c r="D827" s="11">
        <f>'DA - 47'!G111</f>
        <v>575</v>
      </c>
      <c r="E827" s="11" t="str">
        <f>'DA - 47'!B111</f>
        <v>Frame: 47 ----- Stem: 70x30  ----- Aluminium Aerobar + 30 + bridge</v>
      </c>
      <c r="F827" s="11">
        <f t="shared" si="80"/>
        <v>1</v>
      </c>
      <c r="G827" s="11">
        <f t="shared" si="81"/>
        <v>1</v>
      </c>
      <c r="H827" s="11" t="str">
        <f t="shared" si="82"/>
        <v/>
      </c>
      <c r="I827" s="11">
        <f t="shared" si="83"/>
        <v>45</v>
      </c>
      <c r="J827" s="11">
        <v>1</v>
      </c>
      <c r="K827" s="11">
        <f t="shared" si="84"/>
        <v>1</v>
      </c>
      <c r="L827" s="11" t="str">
        <f>'DA - 47'!H111</f>
        <v xml:space="preserve">Aerobar Bolts: Top 30mm; Bottom 15mm </v>
      </c>
    </row>
    <row r="828" spans="1:12" x14ac:dyDescent="0.25">
      <c r="A828" s="11">
        <f>'DA - 47'!C112</f>
        <v>425</v>
      </c>
      <c r="B828" s="11">
        <f>'DA - 47'!D112</f>
        <v>395</v>
      </c>
      <c r="C828" s="11">
        <f>'DA - 47'!E112</f>
        <v>475</v>
      </c>
      <c r="D828" s="11">
        <f>'DA - 47'!G112</f>
        <v>580</v>
      </c>
      <c r="E828" s="11" t="str">
        <f>'DA - 47'!B112</f>
        <v>Frame: 47 ----- Stem: 70x30  ----- Aluminium Aerobar + 30 + bridge + 5</v>
      </c>
      <c r="F828" s="11">
        <f t="shared" si="80"/>
        <v>1</v>
      </c>
      <c r="G828" s="11">
        <f t="shared" si="81"/>
        <v>1</v>
      </c>
      <c r="H828" s="11" t="str">
        <f t="shared" si="82"/>
        <v/>
      </c>
      <c r="I828" s="11">
        <f t="shared" si="83"/>
        <v>45</v>
      </c>
      <c r="J828" s="11">
        <v>1</v>
      </c>
      <c r="K828" s="11">
        <f t="shared" si="84"/>
        <v>1</v>
      </c>
      <c r="L828" s="11" t="str">
        <f>'DA - 47'!H112</f>
        <v xml:space="preserve">Aerobar Bolts: Top 30mm; Bottom 15mm </v>
      </c>
    </row>
    <row r="829" spans="1:12" x14ac:dyDescent="0.25">
      <c r="A829" s="11">
        <f>'DA - 47'!C113</f>
        <v>425</v>
      </c>
      <c r="B829" s="11">
        <f>'DA - 47'!D113</f>
        <v>395</v>
      </c>
      <c r="C829" s="11">
        <f>'DA - 47'!E113</f>
        <v>475</v>
      </c>
      <c r="D829" s="11">
        <f>'DA - 47'!G113</f>
        <v>585</v>
      </c>
      <c r="E829" s="11" t="str">
        <f>'DA - 47'!B113</f>
        <v>Frame: 47 ----- Stem: 70x30  ----- Aluminium Aerobar + 40 + bridge</v>
      </c>
      <c r="F829" s="11">
        <f t="shared" si="80"/>
        <v>1</v>
      </c>
      <c r="G829" s="11" t="str">
        <f t="shared" si="81"/>
        <v/>
      </c>
      <c r="H829" s="11">
        <f t="shared" si="82"/>
        <v>1</v>
      </c>
      <c r="I829" s="11">
        <f t="shared" si="83"/>
        <v>45</v>
      </c>
      <c r="J829" s="11">
        <v>1</v>
      </c>
      <c r="K829" s="11">
        <f t="shared" si="84"/>
        <v>1</v>
      </c>
      <c r="L829" s="11" t="str">
        <f>'DA - 47'!H113</f>
        <v xml:space="preserve">Aerobar Bolts: Top 35mm; Bottom 15mm </v>
      </c>
    </row>
    <row r="830" spans="1:12" x14ac:dyDescent="0.25">
      <c r="A830" s="11">
        <f>'DA - 47'!C114</f>
        <v>425</v>
      </c>
      <c r="B830" s="11">
        <f>'DA - 47'!D114</f>
        <v>395</v>
      </c>
      <c r="C830" s="11">
        <f>'DA - 47'!E114</f>
        <v>475</v>
      </c>
      <c r="D830" s="11">
        <f>'DA - 47'!G114</f>
        <v>590</v>
      </c>
      <c r="E830" s="11" t="str">
        <f>'DA - 47'!B114</f>
        <v>Frame: 47 ----- Stem: 70x30  ----- Aluminium Aerobar + 40 + bridge + 5</v>
      </c>
      <c r="F830" s="11">
        <f t="shared" si="80"/>
        <v>1</v>
      </c>
      <c r="G830" s="11" t="str">
        <f t="shared" si="81"/>
        <v/>
      </c>
      <c r="H830" s="11">
        <f t="shared" si="82"/>
        <v>1</v>
      </c>
      <c r="I830" s="11">
        <f t="shared" si="83"/>
        <v>45</v>
      </c>
      <c r="J830" s="11">
        <v>1</v>
      </c>
      <c r="K830" s="11">
        <f t="shared" si="84"/>
        <v>1</v>
      </c>
      <c r="L830" s="11" t="str">
        <f>'DA - 47'!H114</f>
        <v xml:space="preserve">Aerobar Bolts: Top 35mm; Bottom 15mm </v>
      </c>
    </row>
    <row r="831" spans="1:12" x14ac:dyDescent="0.25">
      <c r="A831" s="11">
        <f>'DA - 47'!C115</f>
        <v>425</v>
      </c>
      <c r="B831" s="11">
        <f>'DA - 47'!D115</f>
        <v>395</v>
      </c>
      <c r="C831" s="11">
        <f>'DA - 47'!E115</f>
        <v>475</v>
      </c>
      <c r="D831" s="11">
        <f>'DA - 47'!G115</f>
        <v>595</v>
      </c>
      <c r="E831" s="11" t="str">
        <f>'DA - 47'!B115</f>
        <v>Frame: 47 ----- Stem: 70x30  ----- Aluminium Aerobar + 40 + bridge + 10</v>
      </c>
      <c r="F831" s="11">
        <f t="shared" si="80"/>
        <v>1</v>
      </c>
      <c r="G831" s="11" t="str">
        <f t="shared" si="81"/>
        <v/>
      </c>
      <c r="H831" s="11">
        <f t="shared" si="82"/>
        <v>1</v>
      </c>
      <c r="I831" s="11">
        <f t="shared" si="83"/>
        <v>45</v>
      </c>
      <c r="J831" s="11">
        <v>1</v>
      </c>
      <c r="K831" s="11">
        <f t="shared" si="84"/>
        <v>1</v>
      </c>
      <c r="L831" s="11" t="str">
        <f>'DA - 47'!H115</f>
        <v xml:space="preserve">Aerobar Bolts: Top 35mm; Bottom 15mm </v>
      </c>
    </row>
    <row r="832" spans="1:12" x14ac:dyDescent="0.25">
      <c r="A832" s="11">
        <f>'DA - 47'!C116</f>
        <v>425</v>
      </c>
      <c r="B832" s="11">
        <f>'DA - 47'!D116</f>
        <v>395</v>
      </c>
      <c r="C832" s="11">
        <f>'DA - 47'!E116</f>
        <v>475</v>
      </c>
      <c r="D832" s="11">
        <f>'DA - 47'!G116</f>
        <v>600</v>
      </c>
      <c r="E832" s="11" t="str">
        <f>'DA - 47'!B116</f>
        <v>Frame: 47 ----- Stem: 70x30  ----- Aluminium Aerobar + 40 + bridge + 10 + 5</v>
      </c>
      <c r="F832" s="11">
        <f t="shared" si="80"/>
        <v>1</v>
      </c>
      <c r="G832" s="11" t="str">
        <f t="shared" si="81"/>
        <v/>
      </c>
      <c r="H832" s="11">
        <f t="shared" si="82"/>
        <v>1</v>
      </c>
      <c r="I832" s="11">
        <f t="shared" si="83"/>
        <v>45</v>
      </c>
      <c r="J832" s="11">
        <v>1</v>
      </c>
      <c r="K832" s="11">
        <f t="shared" si="84"/>
        <v>1</v>
      </c>
      <c r="L832" s="11" t="str">
        <f>'DA - 47'!H116</f>
        <v xml:space="preserve">Aerobar Bolts: Top 35mm; Bottom 25mm </v>
      </c>
    </row>
    <row r="833" spans="1:12" x14ac:dyDescent="0.25">
      <c r="A833" s="11">
        <f>'DA - 47'!C117</f>
        <v>415</v>
      </c>
      <c r="B833" s="11">
        <f>'DA - 47'!D117</f>
        <v>385</v>
      </c>
      <c r="C833" s="11">
        <f>'DA - 47'!E117</f>
        <v>465</v>
      </c>
      <c r="D833" s="11">
        <f>'DA - 47'!G117</f>
        <v>570</v>
      </c>
      <c r="E833" s="11" t="str">
        <f>'DA - 47'!B117</f>
        <v>Frame: 47 ----- Stem: 70x60  ----- Aluminium Aerobar</v>
      </c>
      <c r="F833" s="11" t="str">
        <f t="shared" ref="F833:F896" si="85">IF(AND($F$5&gt;=B833,$F$5&lt;=C833),1,"")</f>
        <v/>
      </c>
      <c r="G833" s="11" t="str">
        <f t="shared" si="81"/>
        <v/>
      </c>
      <c r="H833" s="11" t="str">
        <f t="shared" si="82"/>
        <v/>
      </c>
      <c r="I833" s="11">
        <f t="shared" si="83"/>
        <v>55</v>
      </c>
      <c r="J833" s="11">
        <v>1</v>
      </c>
      <c r="K833" s="11">
        <f t="shared" si="84"/>
        <v>1</v>
      </c>
      <c r="L833" s="11" t="str">
        <f>'DA - 47'!H117</f>
        <v xml:space="preserve">Aerobar Bolts: Top 20mm; Bottom N/A </v>
      </c>
    </row>
    <row r="834" spans="1:12" x14ac:dyDescent="0.25">
      <c r="A834" s="11">
        <f>'DA - 47'!C118</f>
        <v>415</v>
      </c>
      <c r="B834" s="11">
        <f>'DA - 47'!D118</f>
        <v>385</v>
      </c>
      <c r="C834" s="11">
        <f>'DA - 47'!E118</f>
        <v>465</v>
      </c>
      <c r="D834" s="11">
        <f>'DA - 47'!G118</f>
        <v>575</v>
      </c>
      <c r="E834" s="11" t="str">
        <f>'DA - 47'!B118</f>
        <v>Frame: 47 ----- Stem: 70x60  ----- Aluminium Aerobar + 5</v>
      </c>
      <c r="F834" s="11" t="str">
        <f t="shared" si="85"/>
        <v/>
      </c>
      <c r="G834" s="11" t="str">
        <f t="shared" si="81"/>
        <v/>
      </c>
      <c r="H834" s="11" t="str">
        <f t="shared" si="82"/>
        <v/>
      </c>
      <c r="I834" s="11">
        <f t="shared" si="83"/>
        <v>55</v>
      </c>
      <c r="J834" s="11">
        <v>1</v>
      </c>
      <c r="K834" s="11">
        <f t="shared" si="84"/>
        <v>1</v>
      </c>
      <c r="L834" s="11" t="str">
        <f>'DA - 47'!H118</f>
        <v xml:space="preserve">Aerobar Bolts: Top 25mm; Bottom N/A </v>
      </c>
    </row>
    <row r="835" spans="1:12" x14ac:dyDescent="0.25">
      <c r="A835" s="11">
        <f>'DA - 47'!C119</f>
        <v>415</v>
      </c>
      <c r="B835" s="11">
        <f>'DA - 47'!D119</f>
        <v>385</v>
      </c>
      <c r="C835" s="11">
        <f>'DA - 47'!E119</f>
        <v>465</v>
      </c>
      <c r="D835" s="11">
        <f>'DA - 47'!G119</f>
        <v>580</v>
      </c>
      <c r="E835" s="11" t="str">
        <f>'DA - 47'!B119</f>
        <v>Frame: 47 ----- Stem: 70x60  ----- Aluminium Aerobar + 10</v>
      </c>
      <c r="F835" s="11" t="str">
        <f t="shared" si="85"/>
        <v/>
      </c>
      <c r="G835" s="11" t="str">
        <f t="shared" si="81"/>
        <v/>
      </c>
      <c r="H835" s="11" t="str">
        <f t="shared" si="82"/>
        <v/>
      </c>
      <c r="I835" s="11">
        <f t="shared" si="83"/>
        <v>55</v>
      </c>
      <c r="J835" s="11">
        <v>1</v>
      </c>
      <c r="K835" s="11">
        <f t="shared" si="84"/>
        <v>1</v>
      </c>
      <c r="L835" s="11" t="str">
        <f>'DA - 47'!H119</f>
        <v xml:space="preserve">Aerobar Bolts: Top 30mm; Bottom N/A </v>
      </c>
    </row>
    <row r="836" spans="1:12" x14ac:dyDescent="0.25">
      <c r="A836" s="11">
        <f>'DA - 47'!C120</f>
        <v>415</v>
      </c>
      <c r="B836" s="11">
        <f>'DA - 47'!D120</f>
        <v>385</v>
      </c>
      <c r="C836" s="11">
        <f>'DA - 47'!E120</f>
        <v>465</v>
      </c>
      <c r="D836" s="11">
        <f>'DA - 47'!G120</f>
        <v>585</v>
      </c>
      <c r="E836" s="11" t="str">
        <f>'DA - 47'!B120</f>
        <v>Frame: 47 ----- Stem: 70x60  ----- Aluminium Aerobar + 5 + 10</v>
      </c>
      <c r="F836" s="11" t="str">
        <f t="shared" si="85"/>
        <v/>
      </c>
      <c r="G836" s="11" t="str">
        <f t="shared" si="81"/>
        <v/>
      </c>
      <c r="H836" s="11" t="str">
        <f t="shared" si="82"/>
        <v/>
      </c>
      <c r="I836" s="11">
        <f t="shared" si="83"/>
        <v>55</v>
      </c>
      <c r="J836" s="11">
        <v>1</v>
      </c>
      <c r="K836" s="11">
        <f t="shared" si="84"/>
        <v>1</v>
      </c>
      <c r="L836" s="11" t="str">
        <f>'DA - 47'!H120</f>
        <v xml:space="preserve">Aerobar Bolts: Top 35mm; Bottom N/A </v>
      </c>
    </row>
    <row r="837" spans="1:12" x14ac:dyDescent="0.25">
      <c r="A837" s="11">
        <f>'DA - 47'!C121</f>
        <v>415</v>
      </c>
      <c r="B837" s="11">
        <f>'DA - 47'!D121</f>
        <v>385</v>
      </c>
      <c r="C837" s="11">
        <f>'DA - 47'!E121</f>
        <v>465</v>
      </c>
      <c r="D837" s="11">
        <f>'DA - 47'!G121</f>
        <v>590</v>
      </c>
      <c r="E837" s="11" t="str">
        <f>'DA - 47'!B121</f>
        <v>Frame: 47 ----- Stem: 70x60  ----- Aluminium Aerobar + 20</v>
      </c>
      <c r="F837" s="11" t="str">
        <f t="shared" si="85"/>
        <v/>
      </c>
      <c r="G837" s="11" t="str">
        <f t="shared" si="81"/>
        <v/>
      </c>
      <c r="H837" s="11" t="str">
        <f t="shared" si="82"/>
        <v/>
      </c>
      <c r="I837" s="11">
        <f t="shared" si="83"/>
        <v>55</v>
      </c>
      <c r="J837" s="11">
        <v>1</v>
      </c>
      <c r="K837" s="11">
        <f t="shared" si="84"/>
        <v>1</v>
      </c>
      <c r="L837" s="11" t="str">
        <f>'DA - 47'!H121</f>
        <v xml:space="preserve">Aerobar Bolts: Top 20mm; Bottom 15mm </v>
      </c>
    </row>
    <row r="838" spans="1:12" x14ac:dyDescent="0.25">
      <c r="A838" s="11">
        <f>'DA - 47'!C122</f>
        <v>415</v>
      </c>
      <c r="B838" s="11">
        <f>'DA - 47'!D122</f>
        <v>385</v>
      </c>
      <c r="C838" s="11">
        <f>'DA - 47'!E122</f>
        <v>465</v>
      </c>
      <c r="D838" s="11">
        <f>'DA - 47'!G122</f>
        <v>595</v>
      </c>
      <c r="E838" s="11" t="str">
        <f>'DA - 47'!B122</f>
        <v>Frame: 47 ----- Stem: 70x60  ----- Aluminium Aerobar + 20 + 5</v>
      </c>
      <c r="F838" s="11" t="str">
        <f t="shared" si="85"/>
        <v/>
      </c>
      <c r="G838" s="11" t="str">
        <f t="shared" si="81"/>
        <v/>
      </c>
      <c r="H838" s="11" t="str">
        <f t="shared" si="82"/>
        <v/>
      </c>
      <c r="I838" s="11">
        <f t="shared" si="83"/>
        <v>55</v>
      </c>
      <c r="J838" s="11">
        <v>1</v>
      </c>
      <c r="K838" s="11">
        <f t="shared" si="84"/>
        <v>1</v>
      </c>
      <c r="L838" s="11" t="str">
        <f>'DA - 47'!H122</f>
        <v xml:space="preserve">Aerobar Bolts: Top 25mm; Bottom 15mm </v>
      </c>
    </row>
    <row r="839" spans="1:12" x14ac:dyDescent="0.25">
      <c r="A839" s="11">
        <f>'DA - 47'!C123</f>
        <v>415</v>
      </c>
      <c r="B839" s="11">
        <f>'DA - 47'!D123</f>
        <v>385</v>
      </c>
      <c r="C839" s="11">
        <f>'DA - 47'!E123</f>
        <v>465</v>
      </c>
      <c r="D839" s="11">
        <f>'DA - 47'!G123</f>
        <v>595</v>
      </c>
      <c r="E839" s="11" t="str">
        <f>'DA - 47'!B123</f>
        <v>Frame: 47 ----- Stem: 70x60  ----- Aluminium Aerobar + 20 + bridge</v>
      </c>
      <c r="F839" s="11" t="str">
        <f t="shared" si="85"/>
        <v/>
      </c>
      <c r="G839" s="11" t="str">
        <f t="shared" si="81"/>
        <v/>
      </c>
      <c r="H839" s="11" t="str">
        <f t="shared" si="82"/>
        <v/>
      </c>
      <c r="I839" s="11">
        <f t="shared" si="83"/>
        <v>55</v>
      </c>
      <c r="J839" s="11">
        <v>1</v>
      </c>
      <c r="K839" s="11">
        <f t="shared" si="84"/>
        <v>1</v>
      </c>
      <c r="L839" s="11" t="str">
        <f>'DA - 47'!H123</f>
        <v xml:space="preserve">Aerobar Bolts: Top 25mm; Bottom 15mm </v>
      </c>
    </row>
    <row r="840" spans="1:12" x14ac:dyDescent="0.25">
      <c r="A840" s="11">
        <f>'DA - 47'!C124</f>
        <v>415</v>
      </c>
      <c r="B840" s="11">
        <f>'DA - 47'!D124</f>
        <v>385</v>
      </c>
      <c r="C840" s="11">
        <f>'DA - 47'!E124</f>
        <v>465</v>
      </c>
      <c r="D840" s="11">
        <f>'DA - 47'!G124</f>
        <v>600</v>
      </c>
      <c r="E840" s="11" t="str">
        <f>'DA - 47'!B124</f>
        <v>Frame: 47 ----- Stem: 70x60  ----- Aluminium Aerobar + 30</v>
      </c>
      <c r="F840" s="11" t="str">
        <f t="shared" si="85"/>
        <v/>
      </c>
      <c r="G840" s="11">
        <f t="shared" si="81"/>
        <v>1</v>
      </c>
      <c r="H840" s="11" t="str">
        <f t="shared" si="82"/>
        <v/>
      </c>
      <c r="I840" s="11">
        <f t="shared" si="83"/>
        <v>55</v>
      </c>
      <c r="J840" s="11">
        <v>1</v>
      </c>
      <c r="K840" s="11">
        <f t="shared" si="84"/>
        <v>1</v>
      </c>
      <c r="L840" s="11" t="str">
        <f>'DA - 47'!H124</f>
        <v xml:space="preserve">Aerobar Bolts: Top 25mm; Bottom 15mm </v>
      </c>
    </row>
    <row r="841" spans="1:12" x14ac:dyDescent="0.25">
      <c r="A841" s="11">
        <f>'DA - 47'!C125</f>
        <v>415</v>
      </c>
      <c r="B841" s="11">
        <f>'DA - 47'!D125</f>
        <v>385</v>
      </c>
      <c r="C841" s="11">
        <f>'DA - 47'!E125</f>
        <v>465</v>
      </c>
      <c r="D841" s="11">
        <f>'DA - 47'!G125</f>
        <v>600</v>
      </c>
      <c r="E841" s="11" t="str">
        <f>'DA - 47'!B125</f>
        <v>Frame: 47 ----- Stem: 70x60  ----- Aluminium Aerobar + 20 + bridge + 5</v>
      </c>
      <c r="F841" s="11" t="str">
        <f t="shared" si="85"/>
        <v/>
      </c>
      <c r="G841" s="11" t="str">
        <f t="shared" ref="G841:G904" si="86">IF(ISNUMBER(FIND(" 30",E841)),1,"")</f>
        <v/>
      </c>
      <c r="H841" s="11" t="str">
        <f t="shared" ref="H841:H904" si="87">IF(ISNUMBER(FIND(" 40",E841)),1,"")</f>
        <v/>
      </c>
      <c r="I841" s="11">
        <f t="shared" ref="I841:I904" si="88">$F$5-A841</f>
        <v>55</v>
      </c>
      <c r="J841" s="11">
        <v>1</v>
      </c>
      <c r="K841" s="11">
        <f t="shared" ref="K841:K904" si="89">IF(ISNUMBER(FIND(" 58",E841)),$AD$9,IF(ISNUMBER(FIND(" 56",E841)),$AD$8,IF(ISNUMBER(FIND(" 54",E841)),$AD$7,IF(ISNUMBER(FIND(" 51",E841)),$AD$6,IF(ISNUMBER(FIND(" 47",E841)),$AD$5,"")))))</f>
        <v>1</v>
      </c>
      <c r="L841" s="11" t="str">
        <f>'DA - 47'!H125</f>
        <v xml:space="preserve">Aerobar Bolts: Top 25mm; Bottom 15mm </v>
      </c>
    </row>
    <row r="842" spans="1:12" x14ac:dyDescent="0.25">
      <c r="A842" s="11">
        <f>'DA - 47'!C126</f>
        <v>415</v>
      </c>
      <c r="B842" s="11">
        <f>'DA - 47'!D126</f>
        <v>385</v>
      </c>
      <c r="C842" s="11">
        <f>'DA - 47'!E126</f>
        <v>465</v>
      </c>
      <c r="D842" s="11">
        <f>'DA - 47'!G126</f>
        <v>605</v>
      </c>
      <c r="E842" s="11" t="str">
        <f>'DA - 47'!B126</f>
        <v>Frame: 47 ----- Stem: 70x60  ----- Aluminium Aerobar + 30 + bridge</v>
      </c>
      <c r="F842" s="11" t="str">
        <f t="shared" si="85"/>
        <v/>
      </c>
      <c r="G842" s="11">
        <f t="shared" si="86"/>
        <v>1</v>
      </c>
      <c r="H842" s="11" t="str">
        <f t="shared" si="87"/>
        <v/>
      </c>
      <c r="I842" s="11">
        <f t="shared" si="88"/>
        <v>55</v>
      </c>
      <c r="J842" s="11">
        <v>1</v>
      </c>
      <c r="K842" s="11">
        <f t="shared" si="89"/>
        <v>1</v>
      </c>
      <c r="L842" s="11" t="str">
        <f>'DA - 47'!H126</f>
        <v xml:space="preserve">Aerobar Bolts: Top 30mm; Bottom 15mm </v>
      </c>
    </row>
    <row r="843" spans="1:12" x14ac:dyDescent="0.25">
      <c r="A843" s="11">
        <f>'DA - 47'!C127</f>
        <v>415</v>
      </c>
      <c r="B843" s="11">
        <f>'DA - 47'!D127</f>
        <v>385</v>
      </c>
      <c r="C843" s="11">
        <f>'DA - 47'!E127</f>
        <v>465</v>
      </c>
      <c r="D843" s="11">
        <f>'DA - 47'!G127</f>
        <v>610</v>
      </c>
      <c r="E843" s="11" t="str">
        <f>'DA - 47'!B127</f>
        <v>Frame: 47 ----- Stem: 70x60  ----- Aluminium Aerobar + 30 + bridge + 5</v>
      </c>
      <c r="F843" s="11" t="str">
        <f t="shared" si="85"/>
        <v/>
      </c>
      <c r="G843" s="11">
        <f t="shared" si="86"/>
        <v>1</v>
      </c>
      <c r="H843" s="11" t="str">
        <f t="shared" si="87"/>
        <v/>
      </c>
      <c r="I843" s="11">
        <f t="shared" si="88"/>
        <v>55</v>
      </c>
      <c r="J843" s="11">
        <v>1</v>
      </c>
      <c r="K843" s="11">
        <f t="shared" si="89"/>
        <v>1</v>
      </c>
      <c r="L843" s="11" t="str">
        <f>'DA - 47'!H127</f>
        <v xml:space="preserve">Aerobar Bolts: Top 30mm; Bottom 15mm </v>
      </c>
    </row>
    <row r="844" spans="1:12" x14ac:dyDescent="0.25">
      <c r="A844" s="11">
        <f>'DA - 47'!C128</f>
        <v>415</v>
      </c>
      <c r="B844" s="11">
        <f>'DA - 47'!D128</f>
        <v>385</v>
      </c>
      <c r="C844" s="11">
        <f>'DA - 47'!E128</f>
        <v>465</v>
      </c>
      <c r="D844" s="11">
        <f>'DA - 47'!G128</f>
        <v>615</v>
      </c>
      <c r="E844" s="11" t="str">
        <f>'DA - 47'!B128</f>
        <v>Frame: 47 ----- Stem: 70x60  ----- Aluminium Aerobar + 40 + bridge</v>
      </c>
      <c r="F844" s="11" t="str">
        <f t="shared" si="85"/>
        <v/>
      </c>
      <c r="G844" s="11" t="str">
        <f t="shared" si="86"/>
        <v/>
      </c>
      <c r="H844" s="11">
        <f t="shared" si="87"/>
        <v>1</v>
      </c>
      <c r="I844" s="11">
        <f t="shared" si="88"/>
        <v>55</v>
      </c>
      <c r="J844" s="11">
        <v>1</v>
      </c>
      <c r="K844" s="11">
        <f t="shared" si="89"/>
        <v>1</v>
      </c>
      <c r="L844" s="11" t="str">
        <f>'DA - 47'!H128</f>
        <v xml:space="preserve">Aerobar Bolts: Top 35mm; Bottom 15mm </v>
      </c>
    </row>
    <row r="845" spans="1:12" x14ac:dyDescent="0.25">
      <c r="A845" s="11">
        <f>'DA - 47'!C129</f>
        <v>415</v>
      </c>
      <c r="B845" s="11">
        <f>'DA - 47'!D129</f>
        <v>385</v>
      </c>
      <c r="C845" s="11">
        <f>'DA - 47'!E129</f>
        <v>465</v>
      </c>
      <c r="D845" s="11">
        <f>'DA - 47'!G129</f>
        <v>620</v>
      </c>
      <c r="E845" s="11" t="str">
        <f>'DA - 47'!B129</f>
        <v>Frame: 47 ----- Stem: 70x60  ----- Aluminium Aerobar + 40 + bridge + 5</v>
      </c>
      <c r="F845" s="11" t="str">
        <f t="shared" si="85"/>
        <v/>
      </c>
      <c r="G845" s="11" t="str">
        <f t="shared" si="86"/>
        <v/>
      </c>
      <c r="H845" s="11">
        <f t="shared" si="87"/>
        <v>1</v>
      </c>
      <c r="I845" s="11">
        <f t="shared" si="88"/>
        <v>55</v>
      </c>
      <c r="J845" s="11">
        <v>1</v>
      </c>
      <c r="K845" s="11">
        <f t="shared" si="89"/>
        <v>1</v>
      </c>
      <c r="L845" s="11" t="str">
        <f>'DA - 47'!H129</f>
        <v xml:space="preserve">Aerobar Bolts: Top 35mm; Bottom 15mm </v>
      </c>
    </row>
    <row r="846" spans="1:12" x14ac:dyDescent="0.25">
      <c r="A846" s="11">
        <f>'DA - 47'!C130</f>
        <v>415</v>
      </c>
      <c r="B846" s="11">
        <f>'DA - 47'!D130</f>
        <v>385</v>
      </c>
      <c r="C846" s="11">
        <f>'DA - 47'!E130</f>
        <v>465</v>
      </c>
      <c r="D846" s="11">
        <f>'DA - 47'!G130</f>
        <v>625</v>
      </c>
      <c r="E846" s="11" t="str">
        <f>'DA - 47'!B130</f>
        <v>Frame: 47 ----- Stem: 70x60  ----- Aluminium Aerobar + 40 + bridge + 10</v>
      </c>
      <c r="F846" s="11" t="str">
        <f t="shared" si="85"/>
        <v/>
      </c>
      <c r="G846" s="11" t="str">
        <f t="shared" si="86"/>
        <v/>
      </c>
      <c r="H846" s="11">
        <f t="shared" si="87"/>
        <v>1</v>
      </c>
      <c r="I846" s="11">
        <f t="shared" si="88"/>
        <v>55</v>
      </c>
      <c r="J846" s="11">
        <v>1</v>
      </c>
      <c r="K846" s="11">
        <f t="shared" si="89"/>
        <v>1</v>
      </c>
      <c r="L846" s="11" t="str">
        <f>'DA - 47'!H130</f>
        <v xml:space="preserve">Aerobar Bolts: Top 35mm; Bottom 15mm </v>
      </c>
    </row>
    <row r="847" spans="1:12" x14ac:dyDescent="0.25">
      <c r="A847" s="11">
        <f>'DA - 47'!C131</f>
        <v>415</v>
      </c>
      <c r="B847" s="11">
        <f>'DA - 47'!D131</f>
        <v>385</v>
      </c>
      <c r="C847" s="11">
        <f>'DA - 47'!E131</f>
        <v>465</v>
      </c>
      <c r="D847" s="11">
        <f>'DA - 47'!G131</f>
        <v>630</v>
      </c>
      <c r="E847" s="11" t="str">
        <f>'DA - 47'!B131</f>
        <v>Frame: 47 ----- Stem: 70x60  ----- Aluminium Aerobar + 40 + bridge + 10 + 5</v>
      </c>
      <c r="F847" s="11" t="str">
        <f t="shared" si="85"/>
        <v/>
      </c>
      <c r="G847" s="11" t="str">
        <f t="shared" si="86"/>
        <v/>
      </c>
      <c r="H847" s="11">
        <f t="shared" si="87"/>
        <v>1</v>
      </c>
      <c r="I847" s="11">
        <f t="shared" si="88"/>
        <v>55</v>
      </c>
      <c r="J847" s="11">
        <v>1</v>
      </c>
      <c r="K847" s="11">
        <f t="shared" si="89"/>
        <v>1</v>
      </c>
      <c r="L847" s="11" t="str">
        <f>'DA - 47'!H131</f>
        <v xml:space="preserve">Aerobar Bolts: Top 35mm; Bottom 25mm </v>
      </c>
    </row>
    <row r="848" spans="1:12" x14ac:dyDescent="0.25">
      <c r="A848" s="11">
        <f>'DA - 47'!C132</f>
        <v>455</v>
      </c>
      <c r="B848" s="11">
        <f>'DA - 47'!D132</f>
        <v>425</v>
      </c>
      <c r="C848" s="11">
        <f>'DA - 47'!E132</f>
        <v>505</v>
      </c>
      <c r="D848" s="11">
        <f>'DA - 47'!G132</f>
        <v>540</v>
      </c>
      <c r="E848" s="11" t="str">
        <f>'DA - 47'!B132</f>
        <v>Frame: 47 ----- Stem: 100x30  ----- Aluminium Aerobar</v>
      </c>
      <c r="F848" s="11">
        <f t="shared" si="85"/>
        <v>1</v>
      </c>
      <c r="G848" s="11" t="str">
        <f t="shared" si="86"/>
        <v/>
      </c>
      <c r="H848" s="11" t="str">
        <f t="shared" si="87"/>
        <v/>
      </c>
      <c r="I848" s="11">
        <f t="shared" si="88"/>
        <v>15</v>
      </c>
      <c r="J848" s="11">
        <v>1</v>
      </c>
      <c r="K848" s="11">
        <f t="shared" si="89"/>
        <v>1</v>
      </c>
      <c r="L848" s="11" t="str">
        <f>'DA - 47'!H132</f>
        <v xml:space="preserve">Aerobar Bolts: Top 20mm; Bottom N/A </v>
      </c>
    </row>
    <row r="849" spans="1:12" x14ac:dyDescent="0.25">
      <c r="A849" s="11">
        <f>'DA - 47'!C133</f>
        <v>455</v>
      </c>
      <c r="B849" s="11">
        <f>'DA - 47'!D133</f>
        <v>425</v>
      </c>
      <c r="C849" s="11">
        <f>'DA - 47'!E133</f>
        <v>505</v>
      </c>
      <c r="D849" s="11">
        <f>'DA - 47'!G133</f>
        <v>545</v>
      </c>
      <c r="E849" s="11" t="str">
        <f>'DA - 47'!B133</f>
        <v>Frame: 47 ----- Stem: 100x30  ----- Aluminium Aerobar + 5</v>
      </c>
      <c r="F849" s="11">
        <f t="shared" si="85"/>
        <v>1</v>
      </c>
      <c r="G849" s="11" t="str">
        <f t="shared" si="86"/>
        <v/>
      </c>
      <c r="H849" s="11" t="str">
        <f t="shared" si="87"/>
        <v/>
      </c>
      <c r="I849" s="11">
        <f t="shared" si="88"/>
        <v>15</v>
      </c>
      <c r="J849" s="11">
        <v>1</v>
      </c>
      <c r="K849" s="11">
        <f t="shared" si="89"/>
        <v>1</v>
      </c>
      <c r="L849" s="11" t="str">
        <f>'DA - 47'!H133</f>
        <v xml:space="preserve">Aerobar Bolts: Top 25mm; Bottom N/A </v>
      </c>
    </row>
    <row r="850" spans="1:12" x14ac:dyDescent="0.25">
      <c r="A850" s="11">
        <f>'DA - 47'!C134</f>
        <v>455</v>
      </c>
      <c r="B850" s="11">
        <f>'DA - 47'!D134</f>
        <v>425</v>
      </c>
      <c r="C850" s="11">
        <f>'DA - 47'!E134</f>
        <v>505</v>
      </c>
      <c r="D850" s="11">
        <f>'DA - 47'!G134</f>
        <v>550</v>
      </c>
      <c r="E850" s="11" t="str">
        <f>'DA - 47'!B134</f>
        <v>Frame: 47 ----- Stem: 100x30  ----- Aluminium Aerobar + 10</v>
      </c>
      <c r="F850" s="11">
        <f t="shared" si="85"/>
        <v>1</v>
      </c>
      <c r="G850" s="11" t="str">
        <f t="shared" si="86"/>
        <v/>
      </c>
      <c r="H850" s="11" t="str">
        <f t="shared" si="87"/>
        <v/>
      </c>
      <c r="I850" s="11">
        <f t="shared" si="88"/>
        <v>15</v>
      </c>
      <c r="J850" s="11">
        <v>1</v>
      </c>
      <c r="K850" s="11">
        <f t="shared" si="89"/>
        <v>1</v>
      </c>
      <c r="L850" s="11" t="str">
        <f>'DA - 47'!H134</f>
        <v xml:space="preserve">Aerobar Bolts: Top 30mm; Bottom N/A </v>
      </c>
    </row>
    <row r="851" spans="1:12" x14ac:dyDescent="0.25">
      <c r="A851" s="11">
        <f>'DA - 47'!C135</f>
        <v>455</v>
      </c>
      <c r="B851" s="11">
        <f>'DA - 47'!D135</f>
        <v>425</v>
      </c>
      <c r="C851" s="11">
        <f>'DA - 47'!E135</f>
        <v>505</v>
      </c>
      <c r="D851" s="11">
        <f>'DA - 47'!G135</f>
        <v>555</v>
      </c>
      <c r="E851" s="11" t="str">
        <f>'DA - 47'!B135</f>
        <v>Frame: 47 ----- Stem: 100x30  ----- Aluminium Aerobar + 5 + 10</v>
      </c>
      <c r="F851" s="11">
        <f t="shared" si="85"/>
        <v>1</v>
      </c>
      <c r="G851" s="11" t="str">
        <f t="shared" si="86"/>
        <v/>
      </c>
      <c r="H851" s="11" t="str">
        <f t="shared" si="87"/>
        <v/>
      </c>
      <c r="I851" s="11">
        <f t="shared" si="88"/>
        <v>15</v>
      </c>
      <c r="J851" s="11">
        <v>1</v>
      </c>
      <c r="K851" s="11">
        <f t="shared" si="89"/>
        <v>1</v>
      </c>
      <c r="L851" s="11" t="str">
        <f>'DA - 47'!H135</f>
        <v xml:space="preserve">Aerobar Bolts: Top 35mm; Bottom N/A </v>
      </c>
    </row>
    <row r="852" spans="1:12" x14ac:dyDescent="0.25">
      <c r="A852" s="11">
        <f>'DA - 47'!C136</f>
        <v>455</v>
      </c>
      <c r="B852" s="11">
        <f>'DA - 47'!D136</f>
        <v>425</v>
      </c>
      <c r="C852" s="11">
        <f>'DA - 47'!E136</f>
        <v>505</v>
      </c>
      <c r="D852" s="11">
        <f>'DA - 47'!G136</f>
        <v>560</v>
      </c>
      <c r="E852" s="11" t="str">
        <f>'DA - 47'!B136</f>
        <v>Frame: 47 ----- Stem: 100x30  ----- Aluminium Aerobar + 20</v>
      </c>
      <c r="F852" s="11">
        <f t="shared" si="85"/>
        <v>1</v>
      </c>
      <c r="G852" s="11" t="str">
        <f t="shared" si="86"/>
        <v/>
      </c>
      <c r="H852" s="11" t="str">
        <f t="shared" si="87"/>
        <v/>
      </c>
      <c r="I852" s="11">
        <f t="shared" si="88"/>
        <v>15</v>
      </c>
      <c r="J852" s="11">
        <v>1</v>
      </c>
      <c r="K852" s="11">
        <f t="shared" si="89"/>
        <v>1</v>
      </c>
      <c r="L852" s="11" t="str">
        <f>'DA - 47'!H136</f>
        <v xml:space="preserve">Aerobar Bolts: Top 20mm; Bottom 15mm </v>
      </c>
    </row>
    <row r="853" spans="1:12" x14ac:dyDescent="0.25">
      <c r="A853" s="11">
        <f>'DA - 47'!C137</f>
        <v>455</v>
      </c>
      <c r="B853" s="11">
        <f>'DA - 47'!D137</f>
        <v>425</v>
      </c>
      <c r="C853" s="11">
        <f>'DA - 47'!E137</f>
        <v>505</v>
      </c>
      <c r="D853" s="11">
        <f>'DA - 47'!G137</f>
        <v>565</v>
      </c>
      <c r="E853" s="11" t="str">
        <f>'DA - 47'!B137</f>
        <v>Frame: 47 ----- Stem: 100x30  ----- Aluminium Aerobar + 20 + 5</v>
      </c>
      <c r="F853" s="11">
        <f t="shared" si="85"/>
        <v>1</v>
      </c>
      <c r="G853" s="11" t="str">
        <f t="shared" si="86"/>
        <v/>
      </c>
      <c r="H853" s="11" t="str">
        <f t="shared" si="87"/>
        <v/>
      </c>
      <c r="I853" s="11">
        <f t="shared" si="88"/>
        <v>15</v>
      </c>
      <c r="J853" s="11">
        <v>1</v>
      </c>
      <c r="K853" s="11">
        <f t="shared" si="89"/>
        <v>1</v>
      </c>
      <c r="L853" s="11" t="str">
        <f>'DA - 47'!H137</f>
        <v xml:space="preserve">Aerobar Bolts: Top 25mm; Bottom 15mm </v>
      </c>
    </row>
    <row r="854" spans="1:12" x14ac:dyDescent="0.25">
      <c r="A854" s="11">
        <f>'DA - 47'!C138</f>
        <v>455</v>
      </c>
      <c r="B854" s="11">
        <f>'DA - 47'!D138</f>
        <v>425</v>
      </c>
      <c r="C854" s="11">
        <f>'DA - 47'!E138</f>
        <v>505</v>
      </c>
      <c r="D854" s="11">
        <f>'DA - 47'!G138</f>
        <v>565</v>
      </c>
      <c r="E854" s="11" t="str">
        <f>'DA - 47'!B138</f>
        <v>Frame: 47 ----- Stem: 100x30  ----- Aluminium Aerobar + 20 + bridge</v>
      </c>
      <c r="F854" s="11">
        <f t="shared" si="85"/>
        <v>1</v>
      </c>
      <c r="G854" s="11" t="str">
        <f t="shared" si="86"/>
        <v/>
      </c>
      <c r="H854" s="11" t="str">
        <f t="shared" si="87"/>
        <v/>
      </c>
      <c r="I854" s="11">
        <f t="shared" si="88"/>
        <v>15</v>
      </c>
      <c r="J854" s="11">
        <v>1</v>
      </c>
      <c r="K854" s="11">
        <f t="shared" si="89"/>
        <v>1</v>
      </c>
      <c r="L854" s="11" t="str">
        <f>'DA - 47'!H138</f>
        <v xml:space="preserve">Aerobar Bolts: Top 25mm; Bottom 15mm </v>
      </c>
    </row>
    <row r="855" spans="1:12" x14ac:dyDescent="0.25">
      <c r="A855" s="11">
        <f>'DA - 47'!C139</f>
        <v>455</v>
      </c>
      <c r="B855" s="11">
        <f>'DA - 47'!D139</f>
        <v>425</v>
      </c>
      <c r="C855" s="11">
        <f>'DA - 47'!E139</f>
        <v>505</v>
      </c>
      <c r="D855" s="11">
        <f>'DA - 47'!G139</f>
        <v>570</v>
      </c>
      <c r="E855" s="11" t="str">
        <f>'DA - 47'!B139</f>
        <v>Frame: 47 ----- Stem: 100x30  ----- Aluminium Aerobar + 30</v>
      </c>
      <c r="F855" s="11">
        <f t="shared" si="85"/>
        <v>1</v>
      </c>
      <c r="G855" s="11">
        <f t="shared" si="86"/>
        <v>1</v>
      </c>
      <c r="H855" s="11" t="str">
        <f t="shared" si="87"/>
        <v/>
      </c>
      <c r="I855" s="11">
        <f t="shared" si="88"/>
        <v>15</v>
      </c>
      <c r="J855" s="11">
        <v>1</v>
      </c>
      <c r="K855" s="11">
        <f t="shared" si="89"/>
        <v>1</v>
      </c>
      <c r="L855" s="11" t="str">
        <f>'DA - 47'!H139</f>
        <v xml:space="preserve">Aerobar Bolts: Top 25mm; Bottom 15mm </v>
      </c>
    </row>
    <row r="856" spans="1:12" x14ac:dyDescent="0.25">
      <c r="A856" s="11">
        <f>'DA - 47'!C140</f>
        <v>455</v>
      </c>
      <c r="B856" s="11">
        <f>'DA - 47'!D140</f>
        <v>425</v>
      </c>
      <c r="C856" s="11">
        <f>'DA - 47'!E140</f>
        <v>505</v>
      </c>
      <c r="D856" s="11">
        <f>'DA - 47'!G140</f>
        <v>570</v>
      </c>
      <c r="E856" s="11" t="str">
        <f>'DA - 47'!B140</f>
        <v>Frame: 47 ----- Stem: 100x30  ----- Aluminium Aerobar + 20 + bridge + 5</v>
      </c>
      <c r="F856" s="11">
        <f t="shared" si="85"/>
        <v>1</v>
      </c>
      <c r="G856" s="11" t="str">
        <f t="shared" si="86"/>
        <v/>
      </c>
      <c r="H856" s="11" t="str">
        <f t="shared" si="87"/>
        <v/>
      </c>
      <c r="I856" s="11">
        <f t="shared" si="88"/>
        <v>15</v>
      </c>
      <c r="J856" s="11">
        <v>1</v>
      </c>
      <c r="K856" s="11">
        <f t="shared" si="89"/>
        <v>1</v>
      </c>
      <c r="L856" s="11" t="str">
        <f>'DA - 47'!H140</f>
        <v xml:space="preserve">Aerobar Bolts: Top 25mm; Bottom 15mm </v>
      </c>
    </row>
    <row r="857" spans="1:12" x14ac:dyDescent="0.25">
      <c r="A857" s="11">
        <f>'DA - 47'!C141</f>
        <v>455</v>
      </c>
      <c r="B857" s="11">
        <f>'DA - 47'!D141</f>
        <v>425</v>
      </c>
      <c r="C857" s="11">
        <f>'DA - 47'!E141</f>
        <v>505</v>
      </c>
      <c r="D857" s="11">
        <f>'DA - 47'!G141</f>
        <v>575</v>
      </c>
      <c r="E857" s="11" t="str">
        <f>'DA - 47'!B141</f>
        <v>Frame: 47 ----- Stem: 100x30  ----- Aluminium Aerobar + 30 + bridge</v>
      </c>
      <c r="F857" s="11">
        <f t="shared" si="85"/>
        <v>1</v>
      </c>
      <c r="G857" s="11">
        <f t="shared" si="86"/>
        <v>1</v>
      </c>
      <c r="H857" s="11" t="str">
        <f t="shared" si="87"/>
        <v/>
      </c>
      <c r="I857" s="11">
        <f t="shared" si="88"/>
        <v>15</v>
      </c>
      <c r="J857" s="11">
        <v>1</v>
      </c>
      <c r="K857" s="11">
        <f t="shared" si="89"/>
        <v>1</v>
      </c>
      <c r="L857" s="11" t="str">
        <f>'DA - 47'!H141</f>
        <v xml:space="preserve">Aerobar Bolts: Top 30mm; Bottom 15mm </v>
      </c>
    </row>
    <row r="858" spans="1:12" x14ac:dyDescent="0.25">
      <c r="A858" s="11">
        <f>'DA - 47'!C142</f>
        <v>455</v>
      </c>
      <c r="B858" s="11">
        <f>'DA - 47'!D142</f>
        <v>425</v>
      </c>
      <c r="C858" s="11">
        <f>'DA - 47'!E142</f>
        <v>505</v>
      </c>
      <c r="D858" s="11">
        <f>'DA - 47'!G142</f>
        <v>580</v>
      </c>
      <c r="E858" s="11" t="str">
        <f>'DA - 47'!B142</f>
        <v>Frame: 47 ----- Stem: 100x30  ----- Aluminium Aerobar + 30 + bridge + 5</v>
      </c>
      <c r="F858" s="11">
        <f t="shared" si="85"/>
        <v>1</v>
      </c>
      <c r="G858" s="11">
        <f t="shared" si="86"/>
        <v>1</v>
      </c>
      <c r="H858" s="11" t="str">
        <f t="shared" si="87"/>
        <v/>
      </c>
      <c r="I858" s="11">
        <f t="shared" si="88"/>
        <v>15</v>
      </c>
      <c r="J858" s="11">
        <v>1</v>
      </c>
      <c r="K858" s="11">
        <f t="shared" si="89"/>
        <v>1</v>
      </c>
      <c r="L858" s="11" t="str">
        <f>'DA - 47'!H142</f>
        <v xml:space="preserve">Aerobar Bolts: Top 30mm; Bottom 15mm </v>
      </c>
    </row>
    <row r="859" spans="1:12" x14ac:dyDescent="0.25">
      <c r="A859" s="11">
        <f>'DA - 47'!C143</f>
        <v>455</v>
      </c>
      <c r="B859" s="11">
        <f>'DA - 47'!D143</f>
        <v>425</v>
      </c>
      <c r="C859" s="11">
        <f>'DA - 47'!E143</f>
        <v>505</v>
      </c>
      <c r="D859" s="11">
        <f>'DA - 47'!G143</f>
        <v>585</v>
      </c>
      <c r="E859" s="11" t="str">
        <f>'DA - 47'!B143</f>
        <v>Frame: 47 ----- Stem: 100x30  ----- Aluminium Aerobar + 40 + bridge</v>
      </c>
      <c r="F859" s="11">
        <f t="shared" si="85"/>
        <v>1</v>
      </c>
      <c r="G859" s="11" t="str">
        <f t="shared" si="86"/>
        <v/>
      </c>
      <c r="H859" s="11">
        <f t="shared" si="87"/>
        <v>1</v>
      </c>
      <c r="I859" s="11">
        <f t="shared" si="88"/>
        <v>15</v>
      </c>
      <c r="J859" s="11">
        <v>1</v>
      </c>
      <c r="K859" s="11">
        <f t="shared" si="89"/>
        <v>1</v>
      </c>
      <c r="L859" s="11" t="str">
        <f>'DA - 47'!H143</f>
        <v xml:space="preserve">Aerobar Bolts: Top 35mm; Bottom 15mm </v>
      </c>
    </row>
    <row r="860" spans="1:12" x14ac:dyDescent="0.25">
      <c r="A860" s="11">
        <f>'DA - 47'!C144</f>
        <v>455</v>
      </c>
      <c r="B860" s="11">
        <f>'DA - 47'!D144</f>
        <v>425</v>
      </c>
      <c r="C860" s="11">
        <f>'DA - 47'!E144</f>
        <v>505</v>
      </c>
      <c r="D860" s="11">
        <f>'DA - 47'!G144</f>
        <v>590</v>
      </c>
      <c r="E860" s="11" t="str">
        <f>'DA - 47'!B144</f>
        <v>Frame: 47 ----- Stem: 100x30  ----- Aluminium Aerobar + 40 + bridge + 5</v>
      </c>
      <c r="F860" s="11">
        <f t="shared" si="85"/>
        <v>1</v>
      </c>
      <c r="G860" s="11" t="str">
        <f t="shared" si="86"/>
        <v/>
      </c>
      <c r="H860" s="11">
        <f t="shared" si="87"/>
        <v>1</v>
      </c>
      <c r="I860" s="11">
        <f t="shared" si="88"/>
        <v>15</v>
      </c>
      <c r="J860" s="11">
        <v>1</v>
      </c>
      <c r="K860" s="11">
        <f t="shared" si="89"/>
        <v>1</v>
      </c>
      <c r="L860" s="11" t="str">
        <f>'DA - 47'!H144</f>
        <v xml:space="preserve">Aerobar Bolts: Top 35mm; Bottom 15mm </v>
      </c>
    </row>
    <row r="861" spans="1:12" x14ac:dyDescent="0.25">
      <c r="A861" s="11">
        <f>'DA - 47'!C145</f>
        <v>455</v>
      </c>
      <c r="B861" s="11">
        <f>'DA - 47'!D145</f>
        <v>425</v>
      </c>
      <c r="C861" s="11">
        <f>'DA - 47'!E145</f>
        <v>505</v>
      </c>
      <c r="D861" s="11">
        <f>'DA - 47'!G145</f>
        <v>595</v>
      </c>
      <c r="E861" s="11" t="str">
        <f>'DA - 47'!B145</f>
        <v>Frame: 47 ----- Stem: 100x30  ----- Aluminium Aerobar + 40 + bridge + 10</v>
      </c>
      <c r="F861" s="11">
        <f t="shared" si="85"/>
        <v>1</v>
      </c>
      <c r="G861" s="11" t="str">
        <f t="shared" si="86"/>
        <v/>
      </c>
      <c r="H861" s="11">
        <f t="shared" si="87"/>
        <v>1</v>
      </c>
      <c r="I861" s="11">
        <f t="shared" si="88"/>
        <v>15</v>
      </c>
      <c r="J861" s="11">
        <v>1</v>
      </c>
      <c r="K861" s="11">
        <f t="shared" si="89"/>
        <v>1</v>
      </c>
      <c r="L861" s="11" t="str">
        <f>'DA - 47'!H145</f>
        <v xml:space="preserve">Aerobar Bolts: Top 35mm; Bottom 15mm </v>
      </c>
    </row>
    <row r="862" spans="1:12" x14ac:dyDescent="0.25">
      <c r="A862" s="11">
        <f>'DA - 47'!C146</f>
        <v>455</v>
      </c>
      <c r="B862" s="11">
        <f>'DA - 47'!D146</f>
        <v>425</v>
      </c>
      <c r="C862" s="11">
        <f>'DA - 47'!E146</f>
        <v>505</v>
      </c>
      <c r="D862" s="11">
        <f>'DA - 47'!G146</f>
        <v>600</v>
      </c>
      <c r="E862" s="11" t="str">
        <f>'DA - 47'!B146</f>
        <v>Frame: 47 ----- Stem: 100x30  ----- Aluminium Aerobar + 40 + bridge + 10 + 5</v>
      </c>
      <c r="F862" s="11">
        <f t="shared" si="85"/>
        <v>1</v>
      </c>
      <c r="G862" s="11" t="str">
        <f t="shared" si="86"/>
        <v/>
      </c>
      <c r="H862" s="11">
        <f t="shared" si="87"/>
        <v>1</v>
      </c>
      <c r="I862" s="11">
        <f t="shared" si="88"/>
        <v>15</v>
      </c>
      <c r="J862" s="11">
        <v>1</v>
      </c>
      <c r="K862" s="11">
        <f t="shared" si="89"/>
        <v>1</v>
      </c>
      <c r="L862" s="11" t="str">
        <f>'DA - 47'!H146</f>
        <v xml:space="preserve">Aerobar Bolts: Top 35mm; Bottom 25mm </v>
      </c>
    </row>
    <row r="863" spans="1:12" x14ac:dyDescent="0.25">
      <c r="A863" s="11">
        <f>'DA - 47'!C147</f>
        <v>445</v>
      </c>
      <c r="B863" s="11">
        <f>'DA - 47'!D147</f>
        <v>415</v>
      </c>
      <c r="C863" s="11">
        <f>'DA - 47'!E147</f>
        <v>495</v>
      </c>
      <c r="D863" s="11">
        <f>'DA - 47'!G147</f>
        <v>570</v>
      </c>
      <c r="E863" s="11" t="str">
        <f>'DA - 47'!B147</f>
        <v>Frame: 47 ----- Stem: 100x60  ----- Aluminium Aerobar</v>
      </c>
      <c r="F863" s="11">
        <f t="shared" si="85"/>
        <v>1</v>
      </c>
      <c r="G863" s="11" t="str">
        <f t="shared" si="86"/>
        <v/>
      </c>
      <c r="H863" s="11" t="str">
        <f t="shared" si="87"/>
        <v/>
      </c>
      <c r="I863" s="11">
        <f t="shared" si="88"/>
        <v>25</v>
      </c>
      <c r="J863" s="11">
        <v>1</v>
      </c>
      <c r="K863" s="11">
        <f t="shared" si="89"/>
        <v>1</v>
      </c>
      <c r="L863" s="11" t="str">
        <f>'DA - 47'!H147</f>
        <v xml:space="preserve">Aerobar Bolts: Top 20mm; Bottom N/A </v>
      </c>
    </row>
    <row r="864" spans="1:12" x14ac:dyDescent="0.25">
      <c r="A864" s="11">
        <f>'DA - 47'!C148</f>
        <v>445</v>
      </c>
      <c r="B864" s="11">
        <f>'DA - 47'!D148</f>
        <v>415</v>
      </c>
      <c r="C864" s="11">
        <f>'DA - 47'!E148</f>
        <v>495</v>
      </c>
      <c r="D864" s="11">
        <f>'DA - 47'!G148</f>
        <v>575</v>
      </c>
      <c r="E864" s="11" t="str">
        <f>'DA - 47'!B148</f>
        <v>Frame: 47 ----- Stem: 100x60  ----- Aluminium Aerobar + 5</v>
      </c>
      <c r="F864" s="11">
        <f t="shared" si="85"/>
        <v>1</v>
      </c>
      <c r="G864" s="11" t="str">
        <f t="shared" si="86"/>
        <v/>
      </c>
      <c r="H864" s="11" t="str">
        <f t="shared" si="87"/>
        <v/>
      </c>
      <c r="I864" s="11">
        <f t="shared" si="88"/>
        <v>25</v>
      </c>
      <c r="J864" s="11">
        <v>1</v>
      </c>
      <c r="K864" s="11">
        <f t="shared" si="89"/>
        <v>1</v>
      </c>
      <c r="L864" s="11" t="str">
        <f>'DA - 47'!H148</f>
        <v xml:space="preserve">Aerobar Bolts: Top 25mm; Bottom N/A </v>
      </c>
    </row>
    <row r="865" spans="1:12" x14ac:dyDescent="0.25">
      <c r="A865" s="11">
        <f>'DA - 47'!C149</f>
        <v>445</v>
      </c>
      <c r="B865" s="11">
        <f>'DA - 47'!D149</f>
        <v>415</v>
      </c>
      <c r="C865" s="11">
        <f>'DA - 47'!E149</f>
        <v>495</v>
      </c>
      <c r="D865" s="11">
        <f>'DA - 47'!G149</f>
        <v>580</v>
      </c>
      <c r="E865" s="11" t="str">
        <f>'DA - 47'!B149</f>
        <v>Frame: 47 ----- Stem: 100x60  ----- Aluminium Aerobar + 10</v>
      </c>
      <c r="F865" s="11">
        <f t="shared" si="85"/>
        <v>1</v>
      </c>
      <c r="G865" s="11" t="str">
        <f t="shared" si="86"/>
        <v/>
      </c>
      <c r="H865" s="11" t="str">
        <f t="shared" si="87"/>
        <v/>
      </c>
      <c r="I865" s="11">
        <f t="shared" si="88"/>
        <v>25</v>
      </c>
      <c r="J865" s="11">
        <v>1</v>
      </c>
      <c r="K865" s="11">
        <f t="shared" si="89"/>
        <v>1</v>
      </c>
      <c r="L865" s="11" t="str">
        <f>'DA - 47'!H149</f>
        <v xml:space="preserve">Aerobar Bolts: Top 30mm; Bottom N/A </v>
      </c>
    </row>
    <row r="866" spans="1:12" x14ac:dyDescent="0.25">
      <c r="A866" s="11">
        <f>'DA - 47'!C150</f>
        <v>445</v>
      </c>
      <c r="B866" s="11">
        <f>'DA - 47'!D150</f>
        <v>415</v>
      </c>
      <c r="C866" s="11">
        <f>'DA - 47'!E150</f>
        <v>495</v>
      </c>
      <c r="D866" s="11">
        <f>'DA - 47'!G150</f>
        <v>585</v>
      </c>
      <c r="E866" s="11" t="str">
        <f>'DA - 47'!B150</f>
        <v>Frame: 47 ----- Stem: 100x60  ----- Aluminium Aerobar + 5 + 10</v>
      </c>
      <c r="F866" s="11">
        <f t="shared" si="85"/>
        <v>1</v>
      </c>
      <c r="G866" s="11" t="str">
        <f t="shared" si="86"/>
        <v/>
      </c>
      <c r="H866" s="11" t="str">
        <f t="shared" si="87"/>
        <v/>
      </c>
      <c r="I866" s="11">
        <f t="shared" si="88"/>
        <v>25</v>
      </c>
      <c r="J866" s="11">
        <v>1</v>
      </c>
      <c r="K866" s="11">
        <f t="shared" si="89"/>
        <v>1</v>
      </c>
      <c r="L866" s="11" t="str">
        <f>'DA - 47'!H150</f>
        <v xml:space="preserve">Aerobar Bolts: Top 35mm; Bottom N/A </v>
      </c>
    </row>
    <row r="867" spans="1:12" x14ac:dyDescent="0.25">
      <c r="A867" s="11">
        <f>'DA - 47'!C151</f>
        <v>445</v>
      </c>
      <c r="B867" s="11">
        <f>'DA - 47'!D151</f>
        <v>415</v>
      </c>
      <c r="C867" s="11">
        <f>'DA - 47'!E151</f>
        <v>495</v>
      </c>
      <c r="D867" s="11">
        <f>'DA - 47'!G151</f>
        <v>590</v>
      </c>
      <c r="E867" s="11" t="str">
        <f>'DA - 47'!B151</f>
        <v>Frame: 47 ----- Stem: 100x60  ----- Aluminium Aerobar + 20</v>
      </c>
      <c r="F867" s="11">
        <f t="shared" si="85"/>
        <v>1</v>
      </c>
      <c r="G867" s="11" t="str">
        <f t="shared" si="86"/>
        <v/>
      </c>
      <c r="H867" s="11" t="str">
        <f t="shared" si="87"/>
        <v/>
      </c>
      <c r="I867" s="11">
        <f t="shared" si="88"/>
        <v>25</v>
      </c>
      <c r="J867" s="11">
        <v>1</v>
      </c>
      <c r="K867" s="11">
        <f t="shared" si="89"/>
        <v>1</v>
      </c>
      <c r="L867" s="11" t="str">
        <f>'DA - 47'!H151</f>
        <v xml:space="preserve">Aerobar Bolts: Top 20mm; Bottom 15mm </v>
      </c>
    </row>
    <row r="868" spans="1:12" x14ac:dyDescent="0.25">
      <c r="A868" s="11">
        <f>'DA - 47'!C152</f>
        <v>445</v>
      </c>
      <c r="B868" s="11">
        <f>'DA - 47'!D152</f>
        <v>415</v>
      </c>
      <c r="C868" s="11">
        <f>'DA - 47'!E152</f>
        <v>495</v>
      </c>
      <c r="D868" s="11">
        <f>'DA - 47'!G152</f>
        <v>595</v>
      </c>
      <c r="E868" s="11" t="str">
        <f>'DA - 47'!B152</f>
        <v>Frame: 47 ----- Stem: 100x60  ----- Aluminium Aerobar + 20 + 5</v>
      </c>
      <c r="F868" s="11">
        <f t="shared" si="85"/>
        <v>1</v>
      </c>
      <c r="G868" s="11" t="str">
        <f t="shared" si="86"/>
        <v/>
      </c>
      <c r="H868" s="11" t="str">
        <f t="shared" si="87"/>
        <v/>
      </c>
      <c r="I868" s="11">
        <f t="shared" si="88"/>
        <v>25</v>
      </c>
      <c r="J868" s="11">
        <v>1</v>
      </c>
      <c r="K868" s="11">
        <f t="shared" si="89"/>
        <v>1</v>
      </c>
      <c r="L868" s="11" t="str">
        <f>'DA - 47'!H152</f>
        <v xml:space="preserve">Aerobar Bolts: Top 25mm; Bottom 15mm </v>
      </c>
    </row>
    <row r="869" spans="1:12" x14ac:dyDescent="0.25">
      <c r="A869" s="11">
        <f>'DA - 47'!C153</f>
        <v>445</v>
      </c>
      <c r="B869" s="11">
        <f>'DA - 47'!D153</f>
        <v>415</v>
      </c>
      <c r="C869" s="11">
        <f>'DA - 47'!E153</f>
        <v>495</v>
      </c>
      <c r="D869" s="11">
        <f>'DA - 47'!G153</f>
        <v>595</v>
      </c>
      <c r="E869" s="11" t="str">
        <f>'DA - 47'!B153</f>
        <v>Frame: 47 ----- Stem: 100x60  ----- Aluminium Aerobar + 20 + bridge</v>
      </c>
      <c r="F869" s="11">
        <f t="shared" si="85"/>
        <v>1</v>
      </c>
      <c r="G869" s="11" t="str">
        <f t="shared" si="86"/>
        <v/>
      </c>
      <c r="H869" s="11" t="str">
        <f t="shared" si="87"/>
        <v/>
      </c>
      <c r="I869" s="11">
        <f t="shared" si="88"/>
        <v>25</v>
      </c>
      <c r="J869" s="11">
        <v>1</v>
      </c>
      <c r="K869" s="11">
        <f t="shared" si="89"/>
        <v>1</v>
      </c>
      <c r="L869" s="11" t="str">
        <f>'DA - 47'!H153</f>
        <v xml:space="preserve">Aerobar Bolts: Top 25mm; Bottom 15mm </v>
      </c>
    </row>
    <row r="870" spans="1:12" x14ac:dyDescent="0.25">
      <c r="A870" s="11">
        <f>'DA - 47'!C154</f>
        <v>445</v>
      </c>
      <c r="B870" s="11">
        <f>'DA - 47'!D154</f>
        <v>415</v>
      </c>
      <c r="C870" s="11">
        <f>'DA - 47'!E154</f>
        <v>495</v>
      </c>
      <c r="D870" s="11">
        <f>'DA - 47'!G154</f>
        <v>600</v>
      </c>
      <c r="E870" s="11" t="str">
        <f>'DA - 47'!B154</f>
        <v>Frame: 47 ----- Stem: 100x60  ----- Aluminium Aerobar + 30</v>
      </c>
      <c r="F870" s="11">
        <f t="shared" si="85"/>
        <v>1</v>
      </c>
      <c r="G870" s="11">
        <f t="shared" si="86"/>
        <v>1</v>
      </c>
      <c r="H870" s="11" t="str">
        <f t="shared" si="87"/>
        <v/>
      </c>
      <c r="I870" s="11">
        <f t="shared" si="88"/>
        <v>25</v>
      </c>
      <c r="J870" s="11">
        <v>1</v>
      </c>
      <c r="K870" s="11">
        <f t="shared" si="89"/>
        <v>1</v>
      </c>
      <c r="L870" s="11" t="str">
        <f>'DA - 47'!H154</f>
        <v xml:space="preserve">Aerobar Bolts: Top 25mm; Bottom 15mm </v>
      </c>
    </row>
    <row r="871" spans="1:12" x14ac:dyDescent="0.25">
      <c r="A871" s="11">
        <f>'DA - 47'!C155</f>
        <v>445</v>
      </c>
      <c r="B871" s="11">
        <f>'DA - 47'!D155</f>
        <v>415</v>
      </c>
      <c r="C871" s="11">
        <f>'DA - 47'!E155</f>
        <v>495</v>
      </c>
      <c r="D871" s="11">
        <f>'DA - 47'!G155</f>
        <v>600</v>
      </c>
      <c r="E871" s="11" t="str">
        <f>'DA - 47'!B155</f>
        <v>Frame: 47 ----- Stem: 100x60  ----- Aluminium Aerobar + 20 + bridge + 5</v>
      </c>
      <c r="F871" s="11">
        <f t="shared" si="85"/>
        <v>1</v>
      </c>
      <c r="G871" s="11" t="str">
        <f t="shared" si="86"/>
        <v/>
      </c>
      <c r="H871" s="11" t="str">
        <f t="shared" si="87"/>
        <v/>
      </c>
      <c r="I871" s="11">
        <f t="shared" si="88"/>
        <v>25</v>
      </c>
      <c r="J871" s="11">
        <v>1</v>
      </c>
      <c r="K871" s="11">
        <f t="shared" si="89"/>
        <v>1</v>
      </c>
      <c r="L871" s="11" t="str">
        <f>'DA - 47'!H155</f>
        <v xml:space="preserve">Aerobar Bolts: Top 25mm; Bottom 15mm </v>
      </c>
    </row>
    <row r="872" spans="1:12" x14ac:dyDescent="0.25">
      <c r="A872" s="11">
        <f>'DA - 47'!C156</f>
        <v>445</v>
      </c>
      <c r="B872" s="11">
        <f>'DA - 47'!D156</f>
        <v>415</v>
      </c>
      <c r="C872" s="11">
        <f>'DA - 47'!E156</f>
        <v>495</v>
      </c>
      <c r="D872" s="11">
        <f>'DA - 47'!G156</f>
        <v>605</v>
      </c>
      <c r="E872" s="11" t="str">
        <f>'DA - 47'!B156</f>
        <v>Frame: 47 ----- Stem: 100x60  ----- Aluminium Aerobar + 30 + bridge</v>
      </c>
      <c r="F872" s="11">
        <f t="shared" si="85"/>
        <v>1</v>
      </c>
      <c r="G872" s="11">
        <f t="shared" si="86"/>
        <v>1</v>
      </c>
      <c r="H872" s="11" t="str">
        <f t="shared" si="87"/>
        <v/>
      </c>
      <c r="I872" s="11">
        <f t="shared" si="88"/>
        <v>25</v>
      </c>
      <c r="J872" s="11">
        <v>1</v>
      </c>
      <c r="K872" s="11">
        <f t="shared" si="89"/>
        <v>1</v>
      </c>
      <c r="L872" s="11" t="str">
        <f>'DA - 47'!H156</f>
        <v xml:space="preserve">Aerobar Bolts: Top 30mm; Bottom 15mm </v>
      </c>
    </row>
    <row r="873" spans="1:12" x14ac:dyDescent="0.25">
      <c r="A873" s="11">
        <f>'DA - 47'!C157</f>
        <v>445</v>
      </c>
      <c r="B873" s="11">
        <f>'DA - 47'!D157</f>
        <v>415</v>
      </c>
      <c r="C873" s="11">
        <f>'DA - 47'!E157</f>
        <v>495</v>
      </c>
      <c r="D873" s="11">
        <f>'DA - 47'!G157</f>
        <v>610</v>
      </c>
      <c r="E873" s="11" t="str">
        <f>'DA - 47'!B157</f>
        <v>Frame: 47 ----- Stem: 100x60  ----- Aluminium Aerobar + 30 + bridge + 5</v>
      </c>
      <c r="F873" s="11">
        <f t="shared" si="85"/>
        <v>1</v>
      </c>
      <c r="G873" s="11">
        <f t="shared" si="86"/>
        <v>1</v>
      </c>
      <c r="H873" s="11" t="str">
        <f t="shared" si="87"/>
        <v/>
      </c>
      <c r="I873" s="11">
        <f t="shared" si="88"/>
        <v>25</v>
      </c>
      <c r="J873" s="11">
        <v>1</v>
      </c>
      <c r="K873" s="11">
        <f t="shared" si="89"/>
        <v>1</v>
      </c>
      <c r="L873" s="11" t="str">
        <f>'DA - 47'!H157</f>
        <v xml:space="preserve">Aerobar Bolts: Top 30mm; Bottom 15mm </v>
      </c>
    </row>
    <row r="874" spans="1:12" x14ac:dyDescent="0.25">
      <c r="A874" s="11">
        <f>'DA - 47'!C158</f>
        <v>445</v>
      </c>
      <c r="B874" s="11">
        <f>'DA - 47'!D158</f>
        <v>415</v>
      </c>
      <c r="C874" s="11">
        <f>'DA - 47'!E158</f>
        <v>495</v>
      </c>
      <c r="D874" s="11">
        <f>'DA - 47'!G158</f>
        <v>615</v>
      </c>
      <c r="E874" s="11" t="str">
        <f>'DA - 47'!B158</f>
        <v>Frame: 47 ----- Stem: 100x60  ----- Aluminium Aerobar + 40 + bridge</v>
      </c>
      <c r="F874" s="11">
        <f t="shared" si="85"/>
        <v>1</v>
      </c>
      <c r="G874" s="11" t="str">
        <f t="shared" si="86"/>
        <v/>
      </c>
      <c r="H874" s="11">
        <f t="shared" si="87"/>
        <v>1</v>
      </c>
      <c r="I874" s="11">
        <f t="shared" si="88"/>
        <v>25</v>
      </c>
      <c r="J874" s="11">
        <v>1</v>
      </c>
      <c r="K874" s="11">
        <f t="shared" si="89"/>
        <v>1</v>
      </c>
      <c r="L874" s="11" t="str">
        <f>'DA - 47'!H158</f>
        <v xml:space="preserve">Aerobar Bolts: Top 35mm; Bottom 15mm </v>
      </c>
    </row>
    <row r="875" spans="1:12" x14ac:dyDescent="0.25">
      <c r="A875" s="11">
        <f>'DA - 47'!C159</f>
        <v>445</v>
      </c>
      <c r="B875" s="11">
        <f>'DA - 47'!D159</f>
        <v>415</v>
      </c>
      <c r="C875" s="11">
        <f>'DA - 47'!E159</f>
        <v>495</v>
      </c>
      <c r="D875" s="11">
        <f>'DA - 47'!G159</f>
        <v>620</v>
      </c>
      <c r="E875" s="11" t="str">
        <f>'DA - 47'!B159</f>
        <v>Frame: 47 ----- Stem: 100x60  ----- Aluminium Aerobar + 40 + bridge + 5</v>
      </c>
      <c r="F875" s="11">
        <f t="shared" si="85"/>
        <v>1</v>
      </c>
      <c r="G875" s="11" t="str">
        <f t="shared" si="86"/>
        <v/>
      </c>
      <c r="H875" s="11">
        <f t="shared" si="87"/>
        <v>1</v>
      </c>
      <c r="I875" s="11">
        <f t="shared" si="88"/>
        <v>25</v>
      </c>
      <c r="J875" s="11">
        <v>1</v>
      </c>
      <c r="K875" s="11">
        <f t="shared" si="89"/>
        <v>1</v>
      </c>
      <c r="L875" s="11" t="str">
        <f>'DA - 47'!H159</f>
        <v xml:space="preserve">Aerobar Bolts: Top 35mm; Bottom 15mm </v>
      </c>
    </row>
    <row r="876" spans="1:12" x14ac:dyDescent="0.25">
      <c r="A876" s="11">
        <f>'DA - 47'!C160</f>
        <v>445</v>
      </c>
      <c r="B876" s="11">
        <f>'DA - 47'!D160</f>
        <v>415</v>
      </c>
      <c r="C876" s="11">
        <f>'DA - 47'!E160</f>
        <v>495</v>
      </c>
      <c r="D876" s="11">
        <f>'DA - 47'!G160</f>
        <v>625</v>
      </c>
      <c r="E876" s="11" t="str">
        <f>'DA - 47'!B160</f>
        <v>Frame: 47 ----- Stem: 100x60  ----- Aluminium Aerobar + 40 + bridge + 10</v>
      </c>
      <c r="F876" s="11">
        <f t="shared" si="85"/>
        <v>1</v>
      </c>
      <c r="G876" s="11" t="str">
        <f t="shared" si="86"/>
        <v/>
      </c>
      <c r="H876" s="11">
        <f t="shared" si="87"/>
        <v>1</v>
      </c>
      <c r="I876" s="11">
        <f t="shared" si="88"/>
        <v>25</v>
      </c>
      <c r="J876" s="11">
        <v>1</v>
      </c>
      <c r="K876" s="11">
        <f t="shared" si="89"/>
        <v>1</v>
      </c>
      <c r="L876" s="11" t="str">
        <f>'DA - 47'!H160</f>
        <v xml:space="preserve">Aerobar Bolts: Top 35mm; Bottom 15mm </v>
      </c>
    </row>
    <row r="877" spans="1:12" x14ac:dyDescent="0.25">
      <c r="A877" s="11">
        <f>'DA - 47'!C161</f>
        <v>445</v>
      </c>
      <c r="B877" s="11">
        <f>'DA - 47'!D161</f>
        <v>415</v>
      </c>
      <c r="C877" s="11">
        <f>'DA - 47'!E161</f>
        <v>495</v>
      </c>
      <c r="D877" s="11">
        <f>'DA - 47'!G161</f>
        <v>630</v>
      </c>
      <c r="E877" s="11" t="str">
        <f>'DA - 47'!B161</f>
        <v>Frame: 47 ----- Stem: 100x60  ----- Aluminium Aerobar + 40 + bridge + 10 + 5</v>
      </c>
      <c r="F877" s="11">
        <f t="shared" si="85"/>
        <v>1</v>
      </c>
      <c r="G877" s="11" t="str">
        <f t="shared" si="86"/>
        <v/>
      </c>
      <c r="H877" s="11">
        <f t="shared" si="87"/>
        <v>1</v>
      </c>
      <c r="I877" s="11">
        <f t="shared" si="88"/>
        <v>25</v>
      </c>
      <c r="J877" s="11">
        <v>1</v>
      </c>
      <c r="K877" s="11">
        <f t="shared" si="89"/>
        <v>1</v>
      </c>
      <c r="L877" s="11" t="str">
        <f>'DA - 47'!H161</f>
        <v xml:space="preserve">Aerobar Bolts: Top 35mm; Bottom 25mm </v>
      </c>
    </row>
    <row r="878" spans="1:12" x14ac:dyDescent="0.25">
      <c r="A878" s="11">
        <f>'DA - 47'!C162</f>
        <v>450</v>
      </c>
      <c r="B878" s="11">
        <f>'DA - 47'!D162</f>
        <v>420</v>
      </c>
      <c r="C878" s="11">
        <f>'DA - 47'!E162</f>
        <v>500</v>
      </c>
      <c r="D878" s="11">
        <f>'DA - 47'!G162</f>
        <v>510</v>
      </c>
      <c r="E878" s="11" t="str">
        <f>'DA - 47'!B162</f>
        <v>Frame: 47 ----- Stem: 90x0  ----- Aluminium Aerobar</v>
      </c>
      <c r="F878" s="11">
        <f t="shared" si="85"/>
        <v>1</v>
      </c>
      <c r="G878" s="11" t="str">
        <f t="shared" si="86"/>
        <v/>
      </c>
      <c r="H878" s="11" t="str">
        <f t="shared" si="87"/>
        <v/>
      </c>
      <c r="I878" s="11">
        <f t="shared" si="88"/>
        <v>20</v>
      </c>
      <c r="J878" s="11">
        <v>1</v>
      </c>
      <c r="K878" s="11">
        <f t="shared" si="89"/>
        <v>1</v>
      </c>
      <c r="L878" s="11" t="str">
        <f>'DA - 47'!H162</f>
        <v xml:space="preserve">Aerobar Bolts: Top 20mm; Bottom N/A </v>
      </c>
    </row>
    <row r="879" spans="1:12" x14ac:dyDescent="0.25">
      <c r="A879" s="11">
        <f>'DA - 47'!C163</f>
        <v>450</v>
      </c>
      <c r="B879" s="11">
        <f>'DA - 47'!D163</f>
        <v>420</v>
      </c>
      <c r="C879" s="11">
        <f>'DA - 47'!E163</f>
        <v>500</v>
      </c>
      <c r="D879" s="11">
        <f>'DA - 47'!G163</f>
        <v>515</v>
      </c>
      <c r="E879" s="11" t="str">
        <f>'DA - 47'!B163</f>
        <v>Frame: 47 ----- Stem: 90x0  ----- Aluminium Aerobar + 5</v>
      </c>
      <c r="F879" s="11">
        <f t="shared" si="85"/>
        <v>1</v>
      </c>
      <c r="G879" s="11" t="str">
        <f t="shared" si="86"/>
        <v/>
      </c>
      <c r="H879" s="11" t="str">
        <f t="shared" si="87"/>
        <v/>
      </c>
      <c r="I879" s="11">
        <f t="shared" si="88"/>
        <v>20</v>
      </c>
      <c r="J879" s="11">
        <v>1</v>
      </c>
      <c r="K879" s="11">
        <f t="shared" si="89"/>
        <v>1</v>
      </c>
      <c r="L879" s="11" t="str">
        <f>'DA - 47'!H163</f>
        <v xml:space="preserve">Aerobar Bolts: Top 25mm; Bottom N/A </v>
      </c>
    </row>
    <row r="880" spans="1:12" x14ac:dyDescent="0.25">
      <c r="A880" s="11">
        <f>'DA - 47'!C164</f>
        <v>450</v>
      </c>
      <c r="B880" s="11">
        <f>'DA - 47'!D164</f>
        <v>420</v>
      </c>
      <c r="C880" s="11">
        <f>'DA - 47'!E164</f>
        <v>500</v>
      </c>
      <c r="D880" s="11">
        <f>'DA - 47'!G164</f>
        <v>520</v>
      </c>
      <c r="E880" s="11" t="str">
        <f>'DA - 47'!B164</f>
        <v>Frame: 47 ----- Stem: 90x0  ----- Aluminium Aerobar + 10</v>
      </c>
      <c r="F880" s="11">
        <f t="shared" si="85"/>
        <v>1</v>
      </c>
      <c r="G880" s="11" t="str">
        <f t="shared" si="86"/>
        <v/>
      </c>
      <c r="H880" s="11" t="str">
        <f t="shared" si="87"/>
        <v/>
      </c>
      <c r="I880" s="11">
        <f t="shared" si="88"/>
        <v>20</v>
      </c>
      <c r="J880" s="11">
        <v>1</v>
      </c>
      <c r="K880" s="11">
        <f t="shared" si="89"/>
        <v>1</v>
      </c>
      <c r="L880" s="11" t="str">
        <f>'DA - 47'!H164</f>
        <v xml:space="preserve">Aerobar Bolts: Top 30mm; Bottom N/A </v>
      </c>
    </row>
    <row r="881" spans="1:12" x14ac:dyDescent="0.25">
      <c r="A881" s="11">
        <f>'DA - 47'!C165</f>
        <v>450</v>
      </c>
      <c r="B881" s="11">
        <f>'DA - 47'!D165</f>
        <v>420</v>
      </c>
      <c r="C881" s="11">
        <f>'DA - 47'!E165</f>
        <v>500</v>
      </c>
      <c r="D881" s="11">
        <f>'DA - 47'!G165</f>
        <v>525</v>
      </c>
      <c r="E881" s="11" t="str">
        <f>'DA - 47'!B165</f>
        <v>Frame: 47 ----- Stem: 90x0  ----- Aluminium Aerobar + 5 + 10</v>
      </c>
      <c r="F881" s="11">
        <f t="shared" si="85"/>
        <v>1</v>
      </c>
      <c r="G881" s="11" t="str">
        <f t="shared" si="86"/>
        <v/>
      </c>
      <c r="H881" s="11" t="str">
        <f t="shared" si="87"/>
        <v/>
      </c>
      <c r="I881" s="11">
        <f t="shared" si="88"/>
        <v>20</v>
      </c>
      <c r="J881" s="11">
        <v>1</v>
      </c>
      <c r="K881" s="11">
        <f t="shared" si="89"/>
        <v>1</v>
      </c>
      <c r="L881" s="11" t="str">
        <f>'DA - 47'!H165</f>
        <v xml:space="preserve">Aerobar Bolts: Top 35mm; Bottom N/A </v>
      </c>
    </row>
    <row r="882" spans="1:12" x14ac:dyDescent="0.25">
      <c r="A882" s="11">
        <f>'DA - 47'!C166</f>
        <v>450</v>
      </c>
      <c r="B882" s="11">
        <f>'DA - 47'!D166</f>
        <v>420</v>
      </c>
      <c r="C882" s="11">
        <f>'DA - 47'!E166</f>
        <v>500</v>
      </c>
      <c r="D882" s="11">
        <f>'DA - 47'!G166</f>
        <v>530</v>
      </c>
      <c r="E882" s="11" t="str">
        <f>'DA - 47'!B166</f>
        <v>Frame: 47 ----- Stem: 90x0  ----- Aluminium Aerobar + 20</v>
      </c>
      <c r="F882" s="11">
        <f t="shared" si="85"/>
        <v>1</v>
      </c>
      <c r="G882" s="11" t="str">
        <f t="shared" si="86"/>
        <v/>
      </c>
      <c r="H882" s="11" t="str">
        <f t="shared" si="87"/>
        <v/>
      </c>
      <c r="I882" s="11">
        <f t="shared" si="88"/>
        <v>20</v>
      </c>
      <c r="J882" s="11">
        <v>1</v>
      </c>
      <c r="K882" s="11">
        <f t="shared" si="89"/>
        <v>1</v>
      </c>
      <c r="L882" s="11" t="str">
        <f>'DA - 47'!H166</f>
        <v xml:space="preserve">Aerobar Bolts: Top 20mm; Bottom 15mm </v>
      </c>
    </row>
    <row r="883" spans="1:12" x14ac:dyDescent="0.25">
      <c r="A883" s="11">
        <f>'DA - 47'!C167</f>
        <v>450</v>
      </c>
      <c r="B883" s="11">
        <f>'DA - 47'!D167</f>
        <v>420</v>
      </c>
      <c r="C883" s="11">
        <f>'DA - 47'!E167</f>
        <v>500</v>
      </c>
      <c r="D883" s="11">
        <f>'DA - 47'!G167</f>
        <v>535</v>
      </c>
      <c r="E883" s="11" t="str">
        <f>'DA - 47'!B167</f>
        <v>Frame: 47 ----- Stem: 90x0  ----- Aluminium Aerobar + 20 + 5</v>
      </c>
      <c r="F883" s="11">
        <f t="shared" si="85"/>
        <v>1</v>
      </c>
      <c r="G883" s="11" t="str">
        <f t="shared" si="86"/>
        <v/>
      </c>
      <c r="H883" s="11" t="str">
        <f t="shared" si="87"/>
        <v/>
      </c>
      <c r="I883" s="11">
        <f t="shared" si="88"/>
        <v>20</v>
      </c>
      <c r="J883" s="11">
        <v>1</v>
      </c>
      <c r="K883" s="11">
        <f t="shared" si="89"/>
        <v>1</v>
      </c>
      <c r="L883" s="11" t="str">
        <f>'DA - 47'!H167</f>
        <v xml:space="preserve">Aerobar Bolts: Top 25mm; Bottom 15mm </v>
      </c>
    </row>
    <row r="884" spans="1:12" x14ac:dyDescent="0.25">
      <c r="A884" s="11">
        <f>'DA - 47'!C168</f>
        <v>450</v>
      </c>
      <c r="B884" s="11">
        <f>'DA - 47'!D168</f>
        <v>420</v>
      </c>
      <c r="C884" s="11">
        <f>'DA - 47'!E168</f>
        <v>500</v>
      </c>
      <c r="D884" s="11">
        <f>'DA - 47'!G168</f>
        <v>535</v>
      </c>
      <c r="E884" s="11" t="str">
        <f>'DA - 47'!B168</f>
        <v>Frame: 47 ----- Stem: 90x0  ----- Aluminium Aerobar + 20 + bridge</v>
      </c>
      <c r="F884" s="11">
        <f t="shared" si="85"/>
        <v>1</v>
      </c>
      <c r="G884" s="11" t="str">
        <f t="shared" si="86"/>
        <v/>
      </c>
      <c r="H884" s="11" t="str">
        <f t="shared" si="87"/>
        <v/>
      </c>
      <c r="I884" s="11">
        <f t="shared" si="88"/>
        <v>20</v>
      </c>
      <c r="J884" s="11">
        <v>1</v>
      </c>
      <c r="K884" s="11">
        <f t="shared" si="89"/>
        <v>1</v>
      </c>
      <c r="L884" s="11" t="str">
        <f>'DA - 47'!H168</f>
        <v xml:space="preserve">Aerobar Bolts: Top 25mm; Bottom 15mm </v>
      </c>
    </row>
    <row r="885" spans="1:12" x14ac:dyDescent="0.25">
      <c r="A885" s="11">
        <f>'DA - 47'!C169</f>
        <v>450</v>
      </c>
      <c r="B885" s="11">
        <f>'DA - 47'!D169</f>
        <v>420</v>
      </c>
      <c r="C885" s="11">
        <f>'DA - 47'!E169</f>
        <v>500</v>
      </c>
      <c r="D885" s="11">
        <f>'DA - 47'!G169</f>
        <v>540</v>
      </c>
      <c r="E885" s="11" t="str">
        <f>'DA - 47'!B169</f>
        <v>Frame: 47 ----- Stem: 90x0  ----- Aluminium Aerobar + 30</v>
      </c>
      <c r="F885" s="11">
        <f t="shared" si="85"/>
        <v>1</v>
      </c>
      <c r="G885" s="11">
        <f t="shared" si="86"/>
        <v>1</v>
      </c>
      <c r="H885" s="11" t="str">
        <f t="shared" si="87"/>
        <v/>
      </c>
      <c r="I885" s="11">
        <f t="shared" si="88"/>
        <v>20</v>
      </c>
      <c r="J885" s="11">
        <v>1</v>
      </c>
      <c r="K885" s="11">
        <f t="shared" si="89"/>
        <v>1</v>
      </c>
      <c r="L885" s="11" t="str">
        <f>'DA - 47'!H169</f>
        <v xml:space="preserve">Aerobar Bolts: Top 25mm; Bottom 15mm </v>
      </c>
    </row>
    <row r="886" spans="1:12" x14ac:dyDescent="0.25">
      <c r="A886" s="11">
        <f>'DA - 47'!C170</f>
        <v>450</v>
      </c>
      <c r="B886" s="11">
        <f>'DA - 47'!D170</f>
        <v>420</v>
      </c>
      <c r="C886" s="11">
        <f>'DA - 47'!E170</f>
        <v>500</v>
      </c>
      <c r="D886" s="11">
        <f>'DA - 47'!G170</f>
        <v>540</v>
      </c>
      <c r="E886" s="11" t="str">
        <f>'DA - 47'!B170</f>
        <v>Frame: 47 ----- Stem: 90x0  ----- Aluminium Aerobar + 20 + bridge + 5</v>
      </c>
      <c r="F886" s="11">
        <f t="shared" si="85"/>
        <v>1</v>
      </c>
      <c r="G886" s="11" t="str">
        <f t="shared" si="86"/>
        <v/>
      </c>
      <c r="H886" s="11" t="str">
        <f t="shared" si="87"/>
        <v/>
      </c>
      <c r="I886" s="11">
        <f t="shared" si="88"/>
        <v>20</v>
      </c>
      <c r="J886" s="11">
        <v>1</v>
      </c>
      <c r="K886" s="11">
        <f t="shared" si="89"/>
        <v>1</v>
      </c>
      <c r="L886" s="11" t="str">
        <f>'DA - 47'!H170</f>
        <v xml:space="preserve">Aerobar Bolts: Top 25mm; Bottom 15mm </v>
      </c>
    </row>
    <row r="887" spans="1:12" x14ac:dyDescent="0.25">
      <c r="A887" s="11">
        <f>'DA - 47'!C171</f>
        <v>450</v>
      </c>
      <c r="B887" s="11">
        <f>'DA - 47'!D171</f>
        <v>420</v>
      </c>
      <c r="C887" s="11">
        <f>'DA - 47'!E171</f>
        <v>500</v>
      </c>
      <c r="D887" s="11">
        <f>'DA - 47'!G171</f>
        <v>545</v>
      </c>
      <c r="E887" s="11" t="str">
        <f>'DA - 47'!B171</f>
        <v>Frame: 47 ----- Stem: 90x0  ----- Aluminium Aerobar + 30 + bridge</v>
      </c>
      <c r="F887" s="11">
        <f t="shared" si="85"/>
        <v>1</v>
      </c>
      <c r="G887" s="11">
        <f t="shared" si="86"/>
        <v>1</v>
      </c>
      <c r="H887" s="11" t="str">
        <f t="shared" si="87"/>
        <v/>
      </c>
      <c r="I887" s="11">
        <f t="shared" si="88"/>
        <v>20</v>
      </c>
      <c r="J887" s="11">
        <v>1</v>
      </c>
      <c r="K887" s="11">
        <f t="shared" si="89"/>
        <v>1</v>
      </c>
      <c r="L887" s="11" t="str">
        <f>'DA - 47'!H171</f>
        <v xml:space="preserve">Aerobar Bolts: Top 30mm; Bottom 15mm </v>
      </c>
    </row>
    <row r="888" spans="1:12" x14ac:dyDescent="0.25">
      <c r="A888" s="11">
        <f>'DA - 47'!C172</f>
        <v>450</v>
      </c>
      <c r="B888" s="11">
        <f>'DA - 47'!D172</f>
        <v>420</v>
      </c>
      <c r="C888" s="11">
        <f>'DA - 47'!E172</f>
        <v>500</v>
      </c>
      <c r="D888" s="11">
        <f>'DA - 47'!G172</f>
        <v>550</v>
      </c>
      <c r="E888" s="11" t="str">
        <f>'DA - 47'!B172</f>
        <v>Frame: 47 ----- Stem: 90x0  ----- Aluminium Aerobar + 30 + bridge + 5</v>
      </c>
      <c r="F888" s="11">
        <f t="shared" si="85"/>
        <v>1</v>
      </c>
      <c r="G888" s="11">
        <f t="shared" si="86"/>
        <v>1</v>
      </c>
      <c r="H888" s="11" t="str">
        <f t="shared" si="87"/>
        <v/>
      </c>
      <c r="I888" s="11">
        <f t="shared" si="88"/>
        <v>20</v>
      </c>
      <c r="J888" s="11">
        <v>1</v>
      </c>
      <c r="K888" s="11">
        <f t="shared" si="89"/>
        <v>1</v>
      </c>
      <c r="L888" s="11" t="str">
        <f>'DA - 47'!H172</f>
        <v xml:space="preserve">Aerobar Bolts: Top 30mm; Bottom 15mm </v>
      </c>
    </row>
    <row r="889" spans="1:12" x14ac:dyDescent="0.25">
      <c r="A889" s="11">
        <f>'DA - 47'!C173</f>
        <v>450</v>
      </c>
      <c r="B889" s="11">
        <f>'DA - 47'!D173</f>
        <v>420</v>
      </c>
      <c r="C889" s="11">
        <f>'DA - 47'!E173</f>
        <v>500</v>
      </c>
      <c r="D889" s="11">
        <f>'DA - 47'!G173</f>
        <v>555</v>
      </c>
      <c r="E889" s="11" t="str">
        <f>'DA - 47'!B173</f>
        <v>Frame: 47 ----- Stem: 90x0  ----- Aluminium Aerobar + 40 + bridge</v>
      </c>
      <c r="F889" s="11">
        <f t="shared" si="85"/>
        <v>1</v>
      </c>
      <c r="G889" s="11" t="str">
        <f t="shared" si="86"/>
        <v/>
      </c>
      <c r="H889" s="11">
        <f t="shared" si="87"/>
        <v>1</v>
      </c>
      <c r="I889" s="11">
        <f t="shared" si="88"/>
        <v>20</v>
      </c>
      <c r="J889" s="11">
        <v>1</v>
      </c>
      <c r="K889" s="11">
        <f t="shared" si="89"/>
        <v>1</v>
      </c>
      <c r="L889" s="11" t="str">
        <f>'DA - 47'!H173</f>
        <v xml:space="preserve">Aerobar Bolts: Top 35mm; Bottom 15mm </v>
      </c>
    </row>
    <row r="890" spans="1:12" x14ac:dyDescent="0.25">
      <c r="A890" s="11">
        <f>'DA - 47'!C174</f>
        <v>450</v>
      </c>
      <c r="B890" s="11">
        <f>'DA - 47'!D174</f>
        <v>420</v>
      </c>
      <c r="C890" s="11">
        <f>'DA - 47'!E174</f>
        <v>500</v>
      </c>
      <c r="D890" s="11">
        <f>'DA - 47'!G174</f>
        <v>560</v>
      </c>
      <c r="E890" s="11" t="str">
        <f>'DA - 47'!B174</f>
        <v>Frame: 47 ----- Stem: 90x0  ----- Aluminium Aerobar + 40 + bridge + 5</v>
      </c>
      <c r="F890" s="11">
        <f t="shared" si="85"/>
        <v>1</v>
      </c>
      <c r="G890" s="11" t="str">
        <f t="shared" si="86"/>
        <v/>
      </c>
      <c r="H890" s="11">
        <f t="shared" si="87"/>
        <v>1</v>
      </c>
      <c r="I890" s="11">
        <f t="shared" si="88"/>
        <v>20</v>
      </c>
      <c r="J890" s="11">
        <v>1</v>
      </c>
      <c r="K890" s="11">
        <f t="shared" si="89"/>
        <v>1</v>
      </c>
      <c r="L890" s="11" t="str">
        <f>'DA - 47'!H174</f>
        <v xml:space="preserve">Aerobar Bolts: Top 35mm; Bottom 15mm </v>
      </c>
    </row>
    <row r="891" spans="1:12" x14ac:dyDescent="0.25">
      <c r="A891" s="11">
        <f>'DA - 47'!C175</f>
        <v>450</v>
      </c>
      <c r="B891" s="11">
        <f>'DA - 47'!D175</f>
        <v>420</v>
      </c>
      <c r="C891" s="11">
        <f>'DA - 47'!E175</f>
        <v>500</v>
      </c>
      <c r="D891" s="11">
        <f>'DA - 47'!G175</f>
        <v>565</v>
      </c>
      <c r="E891" s="11" t="str">
        <f>'DA - 47'!B175</f>
        <v>Frame: 47 ----- Stem: 90x0  ----- Aluminium Aerobar + 40 + bridge + 10</v>
      </c>
      <c r="F891" s="11">
        <f t="shared" si="85"/>
        <v>1</v>
      </c>
      <c r="G891" s="11" t="str">
        <f t="shared" si="86"/>
        <v/>
      </c>
      <c r="H891" s="11">
        <f t="shared" si="87"/>
        <v>1</v>
      </c>
      <c r="I891" s="11">
        <f t="shared" si="88"/>
        <v>20</v>
      </c>
      <c r="J891" s="11">
        <v>1</v>
      </c>
      <c r="K891" s="11">
        <f t="shared" si="89"/>
        <v>1</v>
      </c>
      <c r="L891" s="11" t="str">
        <f>'DA - 47'!H175</f>
        <v xml:space="preserve">Aerobar Bolts: Top 35mm; Bottom 15mm </v>
      </c>
    </row>
    <row r="892" spans="1:12" x14ac:dyDescent="0.25">
      <c r="A892" s="11">
        <f>'DA - 47'!C176</f>
        <v>450</v>
      </c>
      <c r="B892" s="11">
        <f>'DA - 47'!D176</f>
        <v>420</v>
      </c>
      <c r="C892" s="11">
        <f>'DA - 47'!E176</f>
        <v>500</v>
      </c>
      <c r="D892" s="11">
        <f>'DA - 47'!G176</f>
        <v>570</v>
      </c>
      <c r="E892" s="11" t="str">
        <f>'DA - 47'!B176</f>
        <v>Frame: 47 ----- Stem: 90x0  ----- Aluminium Aerobar + 40 + bridge + 10 + 5</v>
      </c>
      <c r="F892" s="11">
        <f t="shared" si="85"/>
        <v>1</v>
      </c>
      <c r="G892" s="11" t="str">
        <f t="shared" si="86"/>
        <v/>
      </c>
      <c r="H892" s="11">
        <f t="shared" si="87"/>
        <v>1</v>
      </c>
      <c r="I892" s="11">
        <f t="shared" si="88"/>
        <v>20</v>
      </c>
      <c r="J892" s="11">
        <v>1</v>
      </c>
      <c r="K892" s="11">
        <f t="shared" si="89"/>
        <v>1</v>
      </c>
      <c r="L892" s="11" t="str">
        <f>'DA - 47'!H176</f>
        <v xml:space="preserve">Aerobar Bolts: Top 35mm; Bottom 25mm </v>
      </c>
    </row>
    <row r="893" spans="1:12" x14ac:dyDescent="0.25">
      <c r="A893" s="11">
        <f>'DA - 47'!C177</f>
        <v>470</v>
      </c>
      <c r="B893" s="11">
        <f>'DA - 47'!D177</f>
        <v>440</v>
      </c>
      <c r="C893" s="11">
        <f>'DA - 47'!E177</f>
        <v>520</v>
      </c>
      <c r="D893" s="11">
        <f>'DA - 47'!G177</f>
        <v>510</v>
      </c>
      <c r="E893" s="11" t="str">
        <f>'DA - 47'!B177</f>
        <v>Frame: 47 ----- Stem: 110x0  ----- Aluminium Aerobar</v>
      </c>
      <c r="F893" s="11">
        <f t="shared" si="85"/>
        <v>1</v>
      </c>
      <c r="G893" s="11" t="str">
        <f t="shared" si="86"/>
        <v/>
      </c>
      <c r="H893" s="11" t="str">
        <f t="shared" si="87"/>
        <v/>
      </c>
      <c r="I893" s="11">
        <f t="shared" si="88"/>
        <v>0</v>
      </c>
      <c r="J893" s="11">
        <v>1</v>
      </c>
      <c r="K893" s="11">
        <f t="shared" si="89"/>
        <v>1</v>
      </c>
      <c r="L893" s="11" t="str">
        <f>'DA - 47'!H177</f>
        <v xml:space="preserve">Aerobar Bolts: Top 20mm; Bottom N/A </v>
      </c>
    </row>
    <row r="894" spans="1:12" x14ac:dyDescent="0.25">
      <c r="A894" s="11">
        <f>'DA - 47'!C178</f>
        <v>470</v>
      </c>
      <c r="B894" s="11">
        <f>'DA - 47'!D178</f>
        <v>440</v>
      </c>
      <c r="C894" s="11">
        <f>'DA - 47'!E178</f>
        <v>520</v>
      </c>
      <c r="D894" s="11">
        <f>'DA - 47'!G178</f>
        <v>515</v>
      </c>
      <c r="E894" s="11" t="str">
        <f>'DA - 47'!B178</f>
        <v>Frame: 47 ----- Stem: 110x0  ----- Aluminium Aerobar + 5</v>
      </c>
      <c r="F894" s="11">
        <f t="shared" si="85"/>
        <v>1</v>
      </c>
      <c r="G894" s="11" t="str">
        <f t="shared" si="86"/>
        <v/>
      </c>
      <c r="H894" s="11" t="str">
        <f t="shared" si="87"/>
        <v/>
      </c>
      <c r="I894" s="11">
        <f t="shared" si="88"/>
        <v>0</v>
      </c>
      <c r="J894" s="11">
        <v>1</v>
      </c>
      <c r="K894" s="11">
        <f t="shared" si="89"/>
        <v>1</v>
      </c>
      <c r="L894" s="11" t="str">
        <f>'DA - 47'!H178</f>
        <v xml:space="preserve">Aerobar Bolts: Top 25mm; Bottom N/A </v>
      </c>
    </row>
    <row r="895" spans="1:12" x14ac:dyDescent="0.25">
      <c r="A895" s="11">
        <f>'DA - 47'!C179</f>
        <v>470</v>
      </c>
      <c r="B895" s="11">
        <f>'DA - 47'!D179</f>
        <v>440</v>
      </c>
      <c r="C895" s="11">
        <f>'DA - 47'!E179</f>
        <v>520</v>
      </c>
      <c r="D895" s="11">
        <f>'DA - 47'!G179</f>
        <v>520</v>
      </c>
      <c r="E895" s="11" t="str">
        <f>'DA - 47'!B179</f>
        <v>Frame: 47 ----- Stem: 110x0  ----- Aluminium Aerobar + 10</v>
      </c>
      <c r="F895" s="11">
        <f t="shared" si="85"/>
        <v>1</v>
      </c>
      <c r="G895" s="11" t="str">
        <f t="shared" si="86"/>
        <v/>
      </c>
      <c r="H895" s="11" t="str">
        <f t="shared" si="87"/>
        <v/>
      </c>
      <c r="I895" s="11">
        <f t="shared" si="88"/>
        <v>0</v>
      </c>
      <c r="J895" s="11">
        <v>1</v>
      </c>
      <c r="K895" s="11">
        <f t="shared" si="89"/>
        <v>1</v>
      </c>
      <c r="L895" s="11" t="str">
        <f>'DA - 47'!H179</f>
        <v xml:space="preserve">Aerobar Bolts: Top 30mm; Bottom N/A </v>
      </c>
    </row>
    <row r="896" spans="1:12" x14ac:dyDescent="0.25">
      <c r="A896" s="11">
        <f>'DA - 47'!C180</f>
        <v>470</v>
      </c>
      <c r="B896" s="11">
        <f>'DA - 47'!D180</f>
        <v>440</v>
      </c>
      <c r="C896" s="11">
        <f>'DA - 47'!E180</f>
        <v>520</v>
      </c>
      <c r="D896" s="11">
        <f>'DA - 47'!G180</f>
        <v>525</v>
      </c>
      <c r="E896" s="11" t="str">
        <f>'DA - 47'!B180</f>
        <v>Frame: 47 ----- Stem: 110x0  ----- Aluminium Aerobar + 5 + 10</v>
      </c>
      <c r="F896" s="11">
        <f t="shared" si="85"/>
        <v>1</v>
      </c>
      <c r="G896" s="11" t="str">
        <f t="shared" si="86"/>
        <v/>
      </c>
      <c r="H896" s="11" t="str">
        <f t="shared" si="87"/>
        <v/>
      </c>
      <c r="I896" s="11">
        <f t="shared" si="88"/>
        <v>0</v>
      </c>
      <c r="J896" s="11">
        <v>1</v>
      </c>
      <c r="K896" s="11">
        <f t="shared" si="89"/>
        <v>1</v>
      </c>
      <c r="L896" s="11" t="str">
        <f>'DA - 47'!H180</f>
        <v xml:space="preserve">Aerobar Bolts: Top 35mm; Bottom N/A </v>
      </c>
    </row>
    <row r="897" spans="1:12" x14ac:dyDescent="0.25">
      <c r="A897" s="11">
        <f>'DA - 47'!C181</f>
        <v>470</v>
      </c>
      <c r="B897" s="11">
        <f>'DA - 47'!D181</f>
        <v>440</v>
      </c>
      <c r="C897" s="11">
        <f>'DA - 47'!E181</f>
        <v>520</v>
      </c>
      <c r="D897" s="11">
        <f>'DA - 47'!G181</f>
        <v>530</v>
      </c>
      <c r="E897" s="11" t="str">
        <f>'DA - 47'!B181</f>
        <v>Frame: 47 ----- Stem: 110x0  ----- Aluminium Aerobar + 20</v>
      </c>
      <c r="F897" s="11">
        <f t="shared" ref="F897:F907" si="90">IF(AND($F$5&gt;=B897,$F$5&lt;=C897),1,"")</f>
        <v>1</v>
      </c>
      <c r="G897" s="11" t="str">
        <f t="shared" si="86"/>
        <v/>
      </c>
      <c r="H897" s="11" t="str">
        <f t="shared" si="87"/>
        <v/>
      </c>
      <c r="I897" s="11">
        <f t="shared" si="88"/>
        <v>0</v>
      </c>
      <c r="J897" s="11">
        <v>1</v>
      </c>
      <c r="K897" s="11">
        <f t="shared" si="89"/>
        <v>1</v>
      </c>
      <c r="L897" s="11" t="str">
        <f>'DA - 47'!H181</f>
        <v xml:space="preserve">Aerobar Bolts: Top 20mm; Bottom 15mm </v>
      </c>
    </row>
    <row r="898" spans="1:12" x14ac:dyDescent="0.25">
      <c r="A898" s="11">
        <f>'DA - 47'!C182</f>
        <v>470</v>
      </c>
      <c r="B898" s="11">
        <f>'DA - 47'!D182</f>
        <v>440</v>
      </c>
      <c r="C898" s="11">
        <f>'DA - 47'!E182</f>
        <v>520</v>
      </c>
      <c r="D898" s="11">
        <f>'DA - 47'!G182</f>
        <v>535</v>
      </c>
      <c r="E898" s="11" t="str">
        <f>'DA - 47'!B182</f>
        <v>Frame: 47 ----- Stem: 110x0  ----- Aluminium Aerobar + 20 + 5</v>
      </c>
      <c r="F898" s="11">
        <f t="shared" si="90"/>
        <v>1</v>
      </c>
      <c r="G898" s="11" t="str">
        <f t="shared" si="86"/>
        <v/>
      </c>
      <c r="H898" s="11" t="str">
        <f t="shared" si="87"/>
        <v/>
      </c>
      <c r="I898" s="11">
        <f t="shared" si="88"/>
        <v>0</v>
      </c>
      <c r="J898" s="11">
        <v>1</v>
      </c>
      <c r="K898" s="11">
        <f t="shared" si="89"/>
        <v>1</v>
      </c>
      <c r="L898" s="11" t="str">
        <f>'DA - 47'!H182</f>
        <v xml:space="preserve">Aerobar Bolts: Top 25mm; Bottom 15mm </v>
      </c>
    </row>
    <row r="899" spans="1:12" x14ac:dyDescent="0.25">
      <c r="A899" s="11">
        <f>'DA - 47'!C183</f>
        <v>470</v>
      </c>
      <c r="B899" s="11">
        <f>'DA - 47'!D183</f>
        <v>440</v>
      </c>
      <c r="C899" s="11">
        <f>'DA - 47'!E183</f>
        <v>520</v>
      </c>
      <c r="D899" s="11">
        <f>'DA - 47'!G183</f>
        <v>535</v>
      </c>
      <c r="E899" s="11" t="str">
        <f>'DA - 47'!B183</f>
        <v>Frame: 47 ----- Stem: 110x0  ----- Aluminium Aerobar + 20 + bridge</v>
      </c>
      <c r="F899" s="11">
        <f t="shared" si="90"/>
        <v>1</v>
      </c>
      <c r="G899" s="11" t="str">
        <f t="shared" si="86"/>
        <v/>
      </c>
      <c r="H899" s="11" t="str">
        <f t="shared" si="87"/>
        <v/>
      </c>
      <c r="I899" s="11">
        <f t="shared" si="88"/>
        <v>0</v>
      </c>
      <c r="J899" s="11">
        <v>1</v>
      </c>
      <c r="K899" s="11">
        <f t="shared" si="89"/>
        <v>1</v>
      </c>
      <c r="L899" s="11" t="str">
        <f>'DA - 47'!H183</f>
        <v xml:space="preserve">Aerobar Bolts: Top 25mm; Bottom 15mm </v>
      </c>
    </row>
    <row r="900" spans="1:12" x14ac:dyDescent="0.25">
      <c r="A900" s="11">
        <f>'DA - 47'!C184</f>
        <v>470</v>
      </c>
      <c r="B900" s="11">
        <f>'DA - 47'!D184</f>
        <v>440</v>
      </c>
      <c r="C900" s="11">
        <f>'DA - 47'!E184</f>
        <v>520</v>
      </c>
      <c r="D900" s="11">
        <f>'DA - 47'!G184</f>
        <v>540</v>
      </c>
      <c r="E900" s="11" t="str">
        <f>'DA - 47'!B184</f>
        <v>Frame: 47 ----- Stem: 110x0  ----- Aluminium Aerobar + 30</v>
      </c>
      <c r="F900" s="11">
        <f t="shared" si="90"/>
        <v>1</v>
      </c>
      <c r="G900" s="11">
        <f t="shared" si="86"/>
        <v>1</v>
      </c>
      <c r="H900" s="11" t="str">
        <f t="shared" si="87"/>
        <v/>
      </c>
      <c r="I900" s="11">
        <f t="shared" si="88"/>
        <v>0</v>
      </c>
      <c r="J900" s="11">
        <v>1</v>
      </c>
      <c r="K900" s="11">
        <f t="shared" si="89"/>
        <v>1</v>
      </c>
      <c r="L900" s="11" t="str">
        <f>'DA - 47'!H184</f>
        <v xml:space="preserve">Aerobar Bolts: Top 25mm; Bottom 15mm </v>
      </c>
    </row>
    <row r="901" spans="1:12" x14ac:dyDescent="0.25">
      <c r="A901" s="11">
        <f>'DA - 47'!C185</f>
        <v>470</v>
      </c>
      <c r="B901" s="11">
        <f>'DA - 47'!D185</f>
        <v>440</v>
      </c>
      <c r="C901" s="11">
        <f>'DA - 47'!E185</f>
        <v>520</v>
      </c>
      <c r="D901" s="11">
        <f>'DA - 47'!G185</f>
        <v>540</v>
      </c>
      <c r="E901" s="11" t="str">
        <f>'DA - 47'!B185</f>
        <v>Frame: 47 ----- Stem: 110x0  ----- Aluminium Aerobar + 20 + bridge + 5</v>
      </c>
      <c r="F901" s="11">
        <f t="shared" si="90"/>
        <v>1</v>
      </c>
      <c r="G901" s="11" t="str">
        <f t="shared" si="86"/>
        <v/>
      </c>
      <c r="H901" s="11" t="str">
        <f t="shared" si="87"/>
        <v/>
      </c>
      <c r="I901" s="11">
        <f t="shared" si="88"/>
        <v>0</v>
      </c>
      <c r="J901" s="11">
        <v>1</v>
      </c>
      <c r="K901" s="11">
        <f t="shared" si="89"/>
        <v>1</v>
      </c>
      <c r="L901" s="11" t="str">
        <f>'DA - 47'!H185</f>
        <v xml:space="preserve">Aerobar Bolts: Top 25mm; Bottom 15mm </v>
      </c>
    </row>
    <row r="902" spans="1:12" x14ac:dyDescent="0.25">
      <c r="A902" s="11">
        <f>'DA - 47'!C186</f>
        <v>470</v>
      </c>
      <c r="B902" s="11">
        <f>'DA - 47'!D186</f>
        <v>440</v>
      </c>
      <c r="C902" s="11">
        <f>'DA - 47'!E186</f>
        <v>520</v>
      </c>
      <c r="D902" s="11">
        <f>'DA - 47'!G186</f>
        <v>545</v>
      </c>
      <c r="E902" s="11" t="str">
        <f>'DA - 47'!B186</f>
        <v>Frame: 47 ----- Stem: 110x0  ----- Aluminium Aerobar + 30 + bridge</v>
      </c>
      <c r="F902" s="11">
        <f t="shared" si="90"/>
        <v>1</v>
      </c>
      <c r="G902" s="11">
        <f t="shared" si="86"/>
        <v>1</v>
      </c>
      <c r="H902" s="11" t="str">
        <f t="shared" si="87"/>
        <v/>
      </c>
      <c r="I902" s="11">
        <f t="shared" si="88"/>
        <v>0</v>
      </c>
      <c r="J902" s="11">
        <v>1</v>
      </c>
      <c r="K902" s="11">
        <f t="shared" si="89"/>
        <v>1</v>
      </c>
      <c r="L902" s="11" t="str">
        <f>'DA - 47'!H186</f>
        <v xml:space="preserve">Aerobar Bolts: Top 30mm; Bottom 15mm </v>
      </c>
    </row>
    <row r="903" spans="1:12" x14ac:dyDescent="0.25">
      <c r="A903" s="11">
        <f>'DA - 47'!C187</f>
        <v>470</v>
      </c>
      <c r="B903" s="11">
        <f>'DA - 47'!D187</f>
        <v>440</v>
      </c>
      <c r="C903" s="11">
        <f>'DA - 47'!E187</f>
        <v>520</v>
      </c>
      <c r="D903" s="11">
        <f>'DA - 47'!G187</f>
        <v>550</v>
      </c>
      <c r="E903" s="11" t="str">
        <f>'DA - 47'!B187</f>
        <v>Frame: 47 ----- Stem: 110x0  ----- Aluminium Aerobar + 30 + bridge + 5</v>
      </c>
      <c r="F903" s="11">
        <f t="shared" si="90"/>
        <v>1</v>
      </c>
      <c r="G903" s="11">
        <f t="shared" si="86"/>
        <v>1</v>
      </c>
      <c r="H903" s="11" t="str">
        <f t="shared" si="87"/>
        <v/>
      </c>
      <c r="I903" s="11">
        <f t="shared" si="88"/>
        <v>0</v>
      </c>
      <c r="J903" s="11">
        <v>1</v>
      </c>
      <c r="K903" s="11">
        <f t="shared" si="89"/>
        <v>1</v>
      </c>
      <c r="L903" s="11" t="str">
        <f>'DA - 47'!H187</f>
        <v xml:space="preserve">Aerobar Bolts: Top 30mm; Bottom 15mm </v>
      </c>
    </row>
    <row r="904" spans="1:12" x14ac:dyDescent="0.25">
      <c r="A904" s="11">
        <f>'DA - 47'!C188</f>
        <v>470</v>
      </c>
      <c r="B904" s="11">
        <f>'DA - 47'!D188</f>
        <v>440</v>
      </c>
      <c r="C904" s="11">
        <f>'DA - 47'!E188</f>
        <v>520</v>
      </c>
      <c r="D904" s="11">
        <f>'DA - 47'!G188</f>
        <v>555</v>
      </c>
      <c r="E904" s="11" t="str">
        <f>'DA - 47'!B188</f>
        <v>Frame: 47 ----- Stem: 110x0  ----- Aluminium Aerobar + 40 + bridge</v>
      </c>
      <c r="F904" s="11">
        <f t="shared" si="90"/>
        <v>1</v>
      </c>
      <c r="G904" s="11" t="str">
        <f t="shared" si="86"/>
        <v/>
      </c>
      <c r="H904" s="11">
        <f t="shared" si="87"/>
        <v>1</v>
      </c>
      <c r="I904" s="11">
        <f t="shared" si="88"/>
        <v>0</v>
      </c>
      <c r="J904" s="11">
        <v>1</v>
      </c>
      <c r="K904" s="11">
        <f t="shared" si="89"/>
        <v>1</v>
      </c>
      <c r="L904" s="11" t="str">
        <f>'DA - 47'!H188</f>
        <v xml:space="preserve">Aerobar Bolts: Top 35mm; Bottom 15mm </v>
      </c>
    </row>
    <row r="905" spans="1:12" x14ac:dyDescent="0.25">
      <c r="A905" s="11">
        <f>'DA - 47'!C189</f>
        <v>470</v>
      </c>
      <c r="B905" s="11">
        <f>'DA - 47'!D189</f>
        <v>440</v>
      </c>
      <c r="C905" s="11">
        <f>'DA - 47'!E189</f>
        <v>520</v>
      </c>
      <c r="D905" s="11">
        <f>'DA - 47'!G189</f>
        <v>560</v>
      </c>
      <c r="E905" s="11" t="str">
        <f>'DA - 47'!B189</f>
        <v>Frame: 47 ----- Stem: 110x0  ----- Aluminium Aerobar + 40 + bridge + 5</v>
      </c>
      <c r="F905" s="11">
        <f t="shared" si="90"/>
        <v>1</v>
      </c>
      <c r="G905" s="11" t="str">
        <f t="shared" ref="G905:G907" si="91">IF(ISNUMBER(FIND(" 30",E905)),1,"")</f>
        <v/>
      </c>
      <c r="H905" s="11">
        <f t="shared" ref="H905:H907" si="92">IF(ISNUMBER(FIND(" 40",E905)),1,"")</f>
        <v>1</v>
      </c>
      <c r="I905" s="11">
        <f t="shared" ref="I905:I907" si="93">$F$5-A905</f>
        <v>0</v>
      </c>
      <c r="J905" s="11">
        <v>1</v>
      </c>
      <c r="K905" s="11">
        <f t="shared" ref="K905:K907" si="94">IF(ISNUMBER(FIND(" 58",E905)),$AD$9,IF(ISNUMBER(FIND(" 56",E905)),$AD$8,IF(ISNUMBER(FIND(" 54",E905)),$AD$7,IF(ISNUMBER(FIND(" 51",E905)),$AD$6,IF(ISNUMBER(FIND(" 47",E905)),$AD$5,"")))))</f>
        <v>1</v>
      </c>
      <c r="L905" s="11" t="str">
        <f>'DA - 47'!H189</f>
        <v xml:space="preserve">Aerobar Bolts: Top 35mm; Bottom 15mm </v>
      </c>
    </row>
    <row r="906" spans="1:12" x14ac:dyDescent="0.25">
      <c r="A906" s="11">
        <f>'DA - 47'!C190</f>
        <v>470</v>
      </c>
      <c r="B906" s="11">
        <f>'DA - 47'!D190</f>
        <v>440</v>
      </c>
      <c r="C906" s="11">
        <f>'DA - 47'!E190</f>
        <v>520</v>
      </c>
      <c r="D906" s="11">
        <f>'DA - 47'!G190</f>
        <v>565</v>
      </c>
      <c r="E906" s="11" t="str">
        <f>'DA - 47'!B190</f>
        <v>Frame: 47 ----- Stem: 110x0  ----- Aluminium Aerobar + 40 + bridge + 10</v>
      </c>
      <c r="F906" s="11">
        <f t="shared" si="90"/>
        <v>1</v>
      </c>
      <c r="G906" s="11" t="str">
        <f t="shared" si="91"/>
        <v/>
      </c>
      <c r="H906" s="11">
        <f t="shared" si="92"/>
        <v>1</v>
      </c>
      <c r="I906" s="11">
        <f t="shared" si="93"/>
        <v>0</v>
      </c>
      <c r="J906" s="11">
        <v>1</v>
      </c>
      <c r="K906" s="11">
        <f t="shared" si="94"/>
        <v>1</v>
      </c>
      <c r="L906" s="11" t="str">
        <f>'DA - 47'!H190</f>
        <v xml:space="preserve">Aerobar Bolts: Top 35mm; Bottom 15mm </v>
      </c>
    </row>
    <row r="907" spans="1:12" x14ac:dyDescent="0.25">
      <c r="A907" s="11">
        <f>'DA - 47'!C191</f>
        <v>470</v>
      </c>
      <c r="B907" s="11">
        <f>'DA - 47'!D191</f>
        <v>440</v>
      </c>
      <c r="C907" s="11">
        <f>'DA - 47'!E191</f>
        <v>520</v>
      </c>
      <c r="D907" s="11">
        <f>'DA - 47'!G191</f>
        <v>570</v>
      </c>
      <c r="E907" s="11" t="str">
        <f>'DA - 47'!B191</f>
        <v>Frame: 47 ----- Stem: 110x0  ----- Aluminium Aerobar + 40 + bridge + 10 + 5</v>
      </c>
      <c r="F907" s="11">
        <f t="shared" si="90"/>
        <v>1</v>
      </c>
      <c r="G907" s="11" t="str">
        <f t="shared" si="91"/>
        <v/>
      </c>
      <c r="H907" s="11">
        <f t="shared" si="92"/>
        <v>1</v>
      </c>
      <c r="I907" s="11">
        <f t="shared" si="93"/>
        <v>0</v>
      </c>
      <c r="J907" s="11">
        <v>1</v>
      </c>
      <c r="K907" s="11">
        <f t="shared" si="94"/>
        <v>1</v>
      </c>
      <c r="L907" s="11" t="str">
        <f>'DA - 47'!H191</f>
        <v xml:space="preserve">Aerobar Bolts: Top 35mm; Bottom 25mm 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2:P191"/>
  <sheetViews>
    <sheetView zoomScale="70" zoomScaleNormal="70" workbookViewId="0">
      <selection activeCell="B12" sqref="B12"/>
    </sheetView>
  </sheetViews>
  <sheetFormatPr defaultRowHeight="15" x14ac:dyDescent="0.25"/>
  <cols>
    <col min="2" max="2" width="60.5703125" customWidth="1"/>
    <col min="3" max="3" width="14.85546875" bestFit="1" customWidth="1"/>
    <col min="4" max="4" width="11.42578125" bestFit="1" customWidth="1"/>
    <col min="5" max="5" width="12" bestFit="1" customWidth="1"/>
    <col min="8" max="8" width="7.140625" customWidth="1"/>
    <col min="9" max="9" width="9.140625" customWidth="1"/>
    <col min="10" max="10" width="14.7109375" customWidth="1"/>
    <col min="11" max="11" width="15.42578125" bestFit="1" customWidth="1"/>
    <col min="12" max="12" width="13" bestFit="1" customWidth="1"/>
    <col min="13" max="13" width="17.42578125" customWidth="1"/>
    <col min="14" max="14" width="12.5703125" customWidth="1"/>
  </cols>
  <sheetData>
    <row r="2" spans="2:16" x14ac:dyDescent="0.25">
      <c r="B2" t="s">
        <v>12</v>
      </c>
    </row>
    <row r="3" spans="2:16" x14ac:dyDescent="0.25">
      <c r="B3" t="s">
        <v>97</v>
      </c>
      <c r="F3" t="s">
        <v>2</v>
      </c>
      <c r="G3" t="s">
        <v>1</v>
      </c>
    </row>
    <row r="4" spans="2:16" x14ac:dyDescent="0.25">
      <c r="F4">
        <f>'Data - DA'!C8</f>
        <v>447</v>
      </c>
      <c r="G4">
        <f>'Data - DA'!D8</f>
        <v>536</v>
      </c>
    </row>
    <row r="6" spans="2:16" x14ac:dyDescent="0.25">
      <c r="J6" s="1" t="s">
        <v>2</v>
      </c>
      <c r="K6" t="str">
        <f>'Data - DA'!T7</f>
        <v>70x30</v>
      </c>
      <c r="L6" t="str">
        <f>'Data - DA'!U7</f>
        <v>70x60</v>
      </c>
      <c r="M6" t="str">
        <f>'Data - DA'!V7</f>
        <v>100x30</v>
      </c>
      <c r="N6" t="str">
        <f>'Data - DA'!W7</f>
        <v>100x60</v>
      </c>
      <c r="O6" t="str">
        <f>'Data - DA'!X7</f>
        <v>90x0</v>
      </c>
      <c r="P6" t="str">
        <f>'Data - DA'!Y7</f>
        <v>110x0</v>
      </c>
    </row>
    <row r="7" spans="2:16" x14ac:dyDescent="0.25">
      <c r="F7" t="s">
        <v>1</v>
      </c>
      <c r="J7" t="s">
        <v>70</v>
      </c>
      <c r="K7">
        <f>'Data - DA'!T12</f>
        <v>484</v>
      </c>
      <c r="L7">
        <f>'Data - DA'!U12</f>
        <v>474</v>
      </c>
      <c r="M7">
        <f>'Data - DA'!V12</f>
        <v>514</v>
      </c>
      <c r="N7">
        <f>'Data - DA'!W12</f>
        <v>505</v>
      </c>
      <c r="O7">
        <f>'Data - DA'!X12</f>
        <v>509</v>
      </c>
      <c r="P7">
        <f>'Data - DA'!Y12</f>
        <v>529</v>
      </c>
    </row>
    <row r="8" spans="2:16" x14ac:dyDescent="0.25">
      <c r="J8" t="s">
        <v>76</v>
      </c>
      <c r="K8">
        <f>'Data - DA'!T18</f>
        <v>485</v>
      </c>
      <c r="L8">
        <f>'Data - DA'!U18</f>
        <v>475</v>
      </c>
      <c r="M8">
        <f>'Data - DA'!V18</f>
        <v>515</v>
      </c>
      <c r="N8">
        <f>'Data - DA'!W18</f>
        <v>505</v>
      </c>
      <c r="O8">
        <f>'Data - DA'!X18</f>
        <v>510</v>
      </c>
      <c r="P8">
        <f>'Data - DA'!Y18</f>
        <v>530</v>
      </c>
    </row>
    <row r="9" spans="2:16" x14ac:dyDescent="0.25">
      <c r="J9" t="s">
        <v>21</v>
      </c>
      <c r="K9">
        <f>'Data - DA'!T24</f>
        <v>455</v>
      </c>
      <c r="L9">
        <f>'Data - DA'!U24</f>
        <v>445</v>
      </c>
      <c r="M9">
        <f>'Data - DA'!V24</f>
        <v>485</v>
      </c>
      <c r="N9">
        <f>'Data - DA'!W24</f>
        <v>475</v>
      </c>
      <c r="O9">
        <f>'Data - DA'!X24</f>
        <v>480</v>
      </c>
      <c r="P9">
        <f>'Data - DA'!Y24</f>
        <v>500</v>
      </c>
    </row>
    <row r="10" spans="2:16" x14ac:dyDescent="0.25">
      <c r="J10" t="s">
        <v>22</v>
      </c>
      <c r="K10">
        <f>'Data - DA'!T30</f>
        <v>535</v>
      </c>
      <c r="L10">
        <f>'Data - DA'!U30</f>
        <v>525</v>
      </c>
      <c r="M10">
        <f>'Data - DA'!V30</f>
        <v>565</v>
      </c>
      <c r="N10">
        <f>'Data - DA'!W30</f>
        <v>555</v>
      </c>
      <c r="O10">
        <f>'Data - DA'!X30</f>
        <v>560</v>
      </c>
      <c r="P10">
        <f>'Data - DA'!Y30</f>
        <v>580</v>
      </c>
    </row>
    <row r="11" spans="2:16" x14ac:dyDescent="0.25">
      <c r="C11" t="s">
        <v>82</v>
      </c>
      <c r="D11" t="s">
        <v>15</v>
      </c>
      <c r="E11" t="s">
        <v>16</v>
      </c>
    </row>
    <row r="12" spans="2:16" x14ac:dyDescent="0.25">
      <c r="B12" t="str">
        <f>TEXT($B$3,0) &amp;" ----- "&amp;'Data - DA'!B23</f>
        <v>Frame: 58 ----- Stem: 70x30  ----- Carbon Aerobar</v>
      </c>
      <c r="C12">
        <f>$K$8</f>
        <v>485</v>
      </c>
      <c r="D12">
        <f t="shared" ref="D12:D26" si="0">$K$9</f>
        <v>455</v>
      </c>
      <c r="E12">
        <f t="shared" ref="E12:E26" si="1">$K$10</f>
        <v>535</v>
      </c>
      <c r="G12">
        <f t="shared" ref="G12:G57" si="2">ROUND(F12/5,0)*5</f>
        <v>0</v>
      </c>
      <c r="H12" t="str">
        <f>'Data - DA'!G23</f>
        <v xml:space="preserve">Aerobar Bolts: Top N/A; Bottom N/A </v>
      </c>
    </row>
    <row r="13" spans="2:16" x14ac:dyDescent="0.25">
      <c r="B13" t="str">
        <f>TEXT($B$3,0) &amp;" ----- "&amp;'Data - DA'!B24</f>
        <v>Frame: 58 ----- Stem: 70x30  ----- Carbon Aerobar + 5</v>
      </c>
      <c r="C13">
        <f t="shared" ref="C13:C26" si="3">$K$8</f>
        <v>485</v>
      </c>
      <c r="D13">
        <f t="shared" si="0"/>
        <v>455</v>
      </c>
      <c r="E13">
        <f t="shared" si="1"/>
        <v>535</v>
      </c>
      <c r="F13">
        <f>$G$4+'Data - DA'!D24</f>
        <v>634</v>
      </c>
      <c r="G13">
        <f>ROUND(F13/5,0)*5</f>
        <v>635</v>
      </c>
      <c r="H13" t="str">
        <f>'Data - DA'!G24</f>
        <v xml:space="preserve">Aerobar Bolts: Top 45mm; Bottom N/A </v>
      </c>
    </row>
    <row r="14" spans="2:16" x14ac:dyDescent="0.25">
      <c r="B14" t="str">
        <f>TEXT($B$3,0) &amp;" ----- "&amp;'Data - DA'!B25</f>
        <v>Frame: 58 ----- Stem: 70x30  ----- Carbon Aerobar + 10</v>
      </c>
      <c r="C14">
        <f t="shared" si="3"/>
        <v>485</v>
      </c>
      <c r="D14">
        <f t="shared" si="0"/>
        <v>455</v>
      </c>
      <c r="E14">
        <f t="shared" si="1"/>
        <v>535</v>
      </c>
      <c r="F14">
        <f>$G$4+'Data - DA'!D25</f>
        <v>639</v>
      </c>
      <c r="G14">
        <f t="shared" si="2"/>
        <v>640</v>
      </c>
      <c r="H14" t="str">
        <f>'Data - DA'!G25</f>
        <v xml:space="preserve">Aerobar Bolts: Top 50mm; Bottom N/A </v>
      </c>
    </row>
    <row r="15" spans="2:16" x14ac:dyDescent="0.25">
      <c r="B15" t="str">
        <f>TEXT($B$3,0) &amp;" ----- "&amp;'Data - DA'!B26</f>
        <v>Frame: 58 ----- Stem: 70x30  ----- Carbon Aerobar + 5 + 10</v>
      </c>
      <c r="C15">
        <f t="shared" si="3"/>
        <v>485</v>
      </c>
      <c r="D15">
        <f t="shared" si="0"/>
        <v>455</v>
      </c>
      <c r="E15">
        <f t="shared" si="1"/>
        <v>535</v>
      </c>
      <c r="F15">
        <f>$G$4+'Data - DA'!D26</f>
        <v>644</v>
      </c>
      <c r="G15">
        <f t="shared" si="2"/>
        <v>645</v>
      </c>
      <c r="H15" t="str">
        <f>'Data - DA'!G26</f>
        <v xml:space="preserve">Aerobar Bolts: Top 55mm; Bottom N/A </v>
      </c>
    </row>
    <row r="16" spans="2:16" x14ac:dyDescent="0.25">
      <c r="B16" t="str">
        <f>TEXT($B$3,0) &amp;" ----- "&amp;'Data - DA'!B27</f>
        <v>Frame: 58 ----- Stem: 70x30  ----- Carbon Aerobar + 20</v>
      </c>
      <c r="C16">
        <f>$K$8</f>
        <v>485</v>
      </c>
      <c r="D16">
        <f t="shared" si="0"/>
        <v>455</v>
      </c>
      <c r="E16">
        <f t="shared" si="1"/>
        <v>535</v>
      </c>
      <c r="F16">
        <f>$G$4+'Data - DA'!D27</f>
        <v>649</v>
      </c>
      <c r="G16">
        <f t="shared" si="2"/>
        <v>650</v>
      </c>
      <c r="H16" t="str">
        <f>'Data - DA'!G27</f>
        <v xml:space="preserve">Aerobar Bolts: Top 20mm; Bottom 30mm </v>
      </c>
    </row>
    <row r="17" spans="2:8" x14ac:dyDescent="0.25">
      <c r="B17" t="str">
        <f>TEXT($B$3,0) &amp;" ----- "&amp;'Data - DA'!B28</f>
        <v>Frame: 58 ----- Stem: 70x30  ----- Carbon Aerobar + 20 + 5</v>
      </c>
      <c r="C17">
        <f t="shared" si="3"/>
        <v>485</v>
      </c>
      <c r="D17">
        <f t="shared" si="0"/>
        <v>455</v>
      </c>
      <c r="E17">
        <f t="shared" si="1"/>
        <v>535</v>
      </c>
      <c r="F17">
        <f>$G$4+'Data - DA'!D28</f>
        <v>654</v>
      </c>
      <c r="G17">
        <f t="shared" si="2"/>
        <v>655</v>
      </c>
      <c r="H17" t="str">
        <f>'Data - DA'!G28</f>
        <v xml:space="preserve">Aerobar Bolts: Top 25mm; Bottom 30mm </v>
      </c>
    </row>
    <row r="18" spans="2:8" x14ac:dyDescent="0.25">
      <c r="B18" t="str">
        <f>TEXT($B$3,0) &amp;" ----- "&amp;'Data - DA'!B29</f>
        <v>Frame: 58 ----- Stem: 70x30  ----- Carbon Aerobar + 20 + bridge</v>
      </c>
      <c r="C18">
        <f t="shared" si="3"/>
        <v>485</v>
      </c>
      <c r="D18">
        <f t="shared" si="0"/>
        <v>455</v>
      </c>
      <c r="E18">
        <f t="shared" si="1"/>
        <v>535</v>
      </c>
      <c r="F18">
        <f>$G$4+'Data - DA'!D29</f>
        <v>654</v>
      </c>
      <c r="G18">
        <f t="shared" si="2"/>
        <v>655</v>
      </c>
      <c r="H18" t="str">
        <f>'Data - DA'!G29</f>
        <v xml:space="preserve">Aerobar Bolts: Top 25mm; Bottom 30mm </v>
      </c>
    </row>
    <row r="19" spans="2:8" x14ac:dyDescent="0.25">
      <c r="B19" t="str">
        <f>TEXT($B$3,0) &amp;" ----- "&amp;'Data - DA'!B30</f>
        <v>Frame: 58 ----- Stem: 70x30  ----- Carbon Aerobar + 30</v>
      </c>
      <c r="C19">
        <f t="shared" si="3"/>
        <v>485</v>
      </c>
      <c r="D19">
        <f t="shared" si="0"/>
        <v>455</v>
      </c>
      <c r="E19">
        <f t="shared" si="1"/>
        <v>535</v>
      </c>
      <c r="F19">
        <f>$G$4+'Data - DA'!D30</f>
        <v>659</v>
      </c>
      <c r="G19">
        <f t="shared" si="2"/>
        <v>660</v>
      </c>
      <c r="H19" t="str">
        <f>'Data - DA'!G30</f>
        <v xml:space="preserve">Aerobar Bolts: Top 25mm; Bottom 30mm </v>
      </c>
    </row>
    <row r="20" spans="2:8" x14ac:dyDescent="0.25">
      <c r="B20" t="str">
        <f>TEXT($B$3,0) &amp;" ----- "&amp;'Data - DA'!B31</f>
        <v>Frame: 58 ----- Stem: 70x30  ----- Carbon Aerobar + 20 + bridge + 5</v>
      </c>
      <c r="C20">
        <f t="shared" si="3"/>
        <v>485</v>
      </c>
      <c r="D20">
        <f t="shared" si="0"/>
        <v>455</v>
      </c>
      <c r="E20">
        <f t="shared" si="1"/>
        <v>535</v>
      </c>
      <c r="F20">
        <f>$G$4+'Data - DA'!D31</f>
        <v>659</v>
      </c>
      <c r="G20">
        <f t="shared" si="2"/>
        <v>660</v>
      </c>
      <c r="H20" t="str">
        <f>'Data - DA'!G31</f>
        <v xml:space="preserve">Aerobar Bolts: Top 30mm; Bottom 30mm </v>
      </c>
    </row>
    <row r="21" spans="2:8" x14ac:dyDescent="0.25">
      <c r="B21" t="str">
        <f>TEXT($B$3,0) &amp;" ----- "&amp;'Data - DA'!B32</f>
        <v>Frame: 58 ----- Stem: 70x30  ----- Carbon Aerobar + 30 + bridge</v>
      </c>
      <c r="C21">
        <f t="shared" si="3"/>
        <v>485</v>
      </c>
      <c r="D21">
        <f t="shared" si="0"/>
        <v>455</v>
      </c>
      <c r="E21">
        <f t="shared" si="1"/>
        <v>535</v>
      </c>
      <c r="F21">
        <f>$G$4+'Data - DA'!D32</f>
        <v>664</v>
      </c>
      <c r="G21">
        <f t="shared" si="2"/>
        <v>665</v>
      </c>
      <c r="H21" t="str">
        <f>'Data - DA'!G32</f>
        <v xml:space="preserve">Aerobar Bolts: Top 30mm; Bottom 30mm </v>
      </c>
    </row>
    <row r="22" spans="2:8" x14ac:dyDescent="0.25">
      <c r="B22" t="str">
        <f>TEXT($B$3,0) &amp;" ----- "&amp;'Data - DA'!B33</f>
        <v>Frame: 58 ----- Stem: 70x30  ----- Carbon Aerobar + 30 + bridge + 5</v>
      </c>
      <c r="C22">
        <f t="shared" si="3"/>
        <v>485</v>
      </c>
      <c r="D22">
        <f t="shared" si="0"/>
        <v>455</v>
      </c>
      <c r="E22">
        <f t="shared" si="1"/>
        <v>535</v>
      </c>
      <c r="F22">
        <f>$G$4+'Data - DA'!D33</f>
        <v>669</v>
      </c>
      <c r="G22">
        <f t="shared" si="2"/>
        <v>670</v>
      </c>
      <c r="H22" t="str">
        <f>'Data - DA'!G33</f>
        <v xml:space="preserve">Aerobar Bolts: Top 35mm; Bottom 30mm </v>
      </c>
    </row>
    <row r="23" spans="2:8" x14ac:dyDescent="0.25">
      <c r="B23" t="str">
        <f>TEXT($B$3,0) &amp;" ----- "&amp;'Data - DA'!B34</f>
        <v>Frame: 58 ----- Stem: 70x30  ----- Carbon Aerobar + 40 + bridge</v>
      </c>
      <c r="C23">
        <f t="shared" si="3"/>
        <v>485</v>
      </c>
      <c r="D23">
        <f t="shared" si="0"/>
        <v>455</v>
      </c>
      <c r="E23">
        <f t="shared" si="1"/>
        <v>535</v>
      </c>
      <c r="F23">
        <f>$G$4+'Data - DA'!D34</f>
        <v>674</v>
      </c>
      <c r="G23">
        <f t="shared" si="2"/>
        <v>675</v>
      </c>
      <c r="H23" t="str">
        <f>'Data - DA'!G34</f>
        <v xml:space="preserve">Aerobar Bolts: Top 35mm; Bottom 30mm </v>
      </c>
    </row>
    <row r="24" spans="2:8" x14ac:dyDescent="0.25">
      <c r="B24" t="str">
        <f>TEXT($B$3,0) &amp;" ----- "&amp;'Data - DA'!B35</f>
        <v>Frame: 58 ----- Stem: 70x30  ----- Carbon Aerobar + 40 + bridge + 5</v>
      </c>
      <c r="C24">
        <f t="shared" si="3"/>
        <v>485</v>
      </c>
      <c r="D24">
        <f t="shared" si="0"/>
        <v>455</v>
      </c>
      <c r="E24">
        <f t="shared" si="1"/>
        <v>535</v>
      </c>
      <c r="F24">
        <f>$G$4+'Data - DA'!D35</f>
        <v>679</v>
      </c>
      <c r="G24">
        <f t="shared" si="2"/>
        <v>680</v>
      </c>
      <c r="H24" t="str">
        <f>'Data - DA'!G35</f>
        <v xml:space="preserve">Aerobar Bolts: Top 35mm; Bottom 30mm </v>
      </c>
    </row>
    <row r="25" spans="2:8" x14ac:dyDescent="0.25">
      <c r="B25" t="str">
        <f>TEXT($B$3,0) &amp;" ----- "&amp;'Data - DA'!B36</f>
        <v>Frame: 58 ----- Stem: 70x30  ----- Carbon Aerobar + 40 + bridge + 10</v>
      </c>
      <c r="C25">
        <f t="shared" si="3"/>
        <v>485</v>
      </c>
      <c r="D25">
        <f t="shared" si="0"/>
        <v>455</v>
      </c>
      <c r="E25">
        <f t="shared" si="1"/>
        <v>535</v>
      </c>
      <c r="F25">
        <f>$G$4+'Data - DA'!D36</f>
        <v>684</v>
      </c>
      <c r="G25">
        <f t="shared" si="2"/>
        <v>685</v>
      </c>
      <c r="H25" t="str">
        <f>'Data - DA'!G36</f>
        <v xml:space="preserve">Aerobar Bolts: Top 40mm; Bottom 30mm </v>
      </c>
    </row>
    <row r="26" spans="2:8" x14ac:dyDescent="0.25">
      <c r="B26" t="str">
        <f>TEXT($B$3,0) &amp;" ----- "&amp;'Data - DA'!B37</f>
        <v>Frame: 58 ----- Stem: 70x30  ----- Carbon Aerobar + 40 + bridge + 10 + 5</v>
      </c>
      <c r="C26">
        <f t="shared" si="3"/>
        <v>485</v>
      </c>
      <c r="D26">
        <f t="shared" si="0"/>
        <v>455</v>
      </c>
      <c r="E26">
        <f t="shared" si="1"/>
        <v>535</v>
      </c>
      <c r="F26">
        <f>$G$4+'Data - DA'!D37</f>
        <v>689</v>
      </c>
      <c r="G26">
        <f t="shared" si="2"/>
        <v>690</v>
      </c>
      <c r="H26" t="str">
        <f>'Data - DA'!G37</f>
        <v xml:space="preserve">Aerobar Bolts: Top 45mm; Bottom 30mm </v>
      </c>
    </row>
    <row r="27" spans="2:8" x14ac:dyDescent="0.25">
      <c r="B27" t="str">
        <f>TEXT($B$3,0) &amp;" ----- "&amp;'Data - DA'!B38</f>
        <v>Frame: 58 ----- Stem: 70x60  ----- Carbon Aerobar</v>
      </c>
      <c r="C27">
        <f>$L$8</f>
        <v>475</v>
      </c>
      <c r="D27">
        <f t="shared" ref="D27:D41" si="4">$L$9</f>
        <v>445</v>
      </c>
      <c r="E27">
        <f t="shared" ref="E27:E41" si="5">$L$10</f>
        <v>525</v>
      </c>
      <c r="G27">
        <f t="shared" si="2"/>
        <v>0</v>
      </c>
      <c r="H27" t="str">
        <f>'Data - DA'!G38</f>
        <v xml:space="preserve">Aerobar Bolts: Top N/A; Bottom N/A </v>
      </c>
    </row>
    <row r="28" spans="2:8" x14ac:dyDescent="0.25">
      <c r="B28" t="str">
        <f>TEXT($B$3,0) &amp;" ----- "&amp;'Data - DA'!B39</f>
        <v>Frame: 58 ----- Stem: 70x60  ----- Carbon Aerobar + 5</v>
      </c>
      <c r="C28">
        <f t="shared" ref="C28:C41" si="6">$L$8</f>
        <v>475</v>
      </c>
      <c r="D28">
        <f t="shared" si="4"/>
        <v>445</v>
      </c>
      <c r="E28">
        <f t="shared" si="5"/>
        <v>525</v>
      </c>
      <c r="F28">
        <f>$G$4+'Data - DA'!D39</f>
        <v>665</v>
      </c>
      <c r="G28">
        <f t="shared" si="2"/>
        <v>665</v>
      </c>
      <c r="H28" t="str">
        <f>'Data - DA'!G39</f>
        <v xml:space="preserve">Aerobar Bolts: Top 45mm; Bottom N/A </v>
      </c>
    </row>
    <row r="29" spans="2:8" x14ac:dyDescent="0.25">
      <c r="B29" t="str">
        <f>TEXT($B$3,0) &amp;" ----- "&amp;'Data - DA'!B40</f>
        <v>Frame: 58 ----- Stem: 70x60  ----- Carbon Aerobar + 10</v>
      </c>
      <c r="C29">
        <f t="shared" si="6"/>
        <v>475</v>
      </c>
      <c r="D29">
        <f t="shared" si="4"/>
        <v>445</v>
      </c>
      <c r="E29">
        <f t="shared" si="5"/>
        <v>525</v>
      </c>
      <c r="F29">
        <f>$G$4+'Data - DA'!D40</f>
        <v>670</v>
      </c>
      <c r="G29">
        <f t="shared" si="2"/>
        <v>670</v>
      </c>
      <c r="H29" t="str">
        <f>'Data - DA'!G40</f>
        <v xml:space="preserve">Aerobar Bolts: Top 50mm; Bottom N/A </v>
      </c>
    </row>
    <row r="30" spans="2:8" x14ac:dyDescent="0.25">
      <c r="B30" t="str">
        <f>TEXT($B$3,0) &amp;" ----- "&amp;'Data - DA'!B41</f>
        <v>Frame: 58 ----- Stem: 70x60  ----- Carbon Aerobar + 5 + 10</v>
      </c>
      <c r="C30">
        <f t="shared" si="6"/>
        <v>475</v>
      </c>
      <c r="D30">
        <f t="shared" si="4"/>
        <v>445</v>
      </c>
      <c r="E30">
        <f t="shared" si="5"/>
        <v>525</v>
      </c>
      <c r="F30">
        <f>$G$4+'Data - DA'!D41</f>
        <v>675</v>
      </c>
      <c r="G30">
        <f t="shared" si="2"/>
        <v>675</v>
      </c>
      <c r="H30" t="str">
        <f>'Data - DA'!G41</f>
        <v xml:space="preserve">Aerobar Bolts: Top 55mm; Bottom N/A </v>
      </c>
    </row>
    <row r="31" spans="2:8" x14ac:dyDescent="0.25">
      <c r="B31" t="str">
        <f>TEXT($B$3,0) &amp;" ----- "&amp;'Data - DA'!B42</f>
        <v>Frame: 58 ----- Stem: 70x60  ----- Carbon Aerobar + 20</v>
      </c>
      <c r="C31">
        <f t="shared" si="6"/>
        <v>475</v>
      </c>
      <c r="D31">
        <f t="shared" si="4"/>
        <v>445</v>
      </c>
      <c r="E31">
        <f t="shared" si="5"/>
        <v>525</v>
      </c>
      <c r="F31">
        <f>$G$4+'Data - DA'!D42</f>
        <v>680</v>
      </c>
      <c r="G31">
        <f t="shared" si="2"/>
        <v>680</v>
      </c>
      <c r="H31" t="str">
        <f>'Data - DA'!G42</f>
        <v xml:space="preserve">Aerobar Bolts: Top 20mm; Bottom 30mm </v>
      </c>
    </row>
    <row r="32" spans="2:8" x14ac:dyDescent="0.25">
      <c r="B32" t="str">
        <f>TEXT($B$3,0) &amp;" ----- "&amp;'Data - DA'!B43</f>
        <v>Frame: 58 ----- Stem: 70x60  ----- Carbon Aerobar + 20 + 5</v>
      </c>
      <c r="C32">
        <f t="shared" si="6"/>
        <v>475</v>
      </c>
      <c r="D32">
        <f t="shared" si="4"/>
        <v>445</v>
      </c>
      <c r="E32">
        <f t="shared" si="5"/>
        <v>525</v>
      </c>
      <c r="F32">
        <f>$G$4+'Data - DA'!D43</f>
        <v>685</v>
      </c>
      <c r="G32">
        <f t="shared" si="2"/>
        <v>685</v>
      </c>
      <c r="H32" t="str">
        <f>'Data - DA'!G43</f>
        <v xml:space="preserve">Aerobar Bolts: Top 25mm; Bottom 30mm </v>
      </c>
    </row>
    <row r="33" spans="2:8" x14ac:dyDescent="0.25">
      <c r="B33" t="str">
        <f>TEXT($B$3,0) &amp;" ----- "&amp;'Data - DA'!B44</f>
        <v>Frame: 58 ----- Stem: 70x60  ----- Carbon Aerobar + 20 + bridge</v>
      </c>
      <c r="C33">
        <f t="shared" si="6"/>
        <v>475</v>
      </c>
      <c r="D33">
        <f t="shared" si="4"/>
        <v>445</v>
      </c>
      <c r="E33">
        <f t="shared" si="5"/>
        <v>525</v>
      </c>
      <c r="F33">
        <f>$G$4+'Data - DA'!D44</f>
        <v>685</v>
      </c>
      <c r="G33">
        <f t="shared" si="2"/>
        <v>685</v>
      </c>
      <c r="H33" t="str">
        <f>'Data - DA'!G44</f>
        <v xml:space="preserve">Aerobar Bolts: Top 25mm; Bottom 30mm </v>
      </c>
    </row>
    <row r="34" spans="2:8" x14ac:dyDescent="0.25">
      <c r="B34" t="str">
        <f>TEXT($B$3,0) &amp;" ----- "&amp;'Data - DA'!B45</f>
        <v>Frame: 58 ----- Stem: 70x60  ----- Carbon Aerobar + 30</v>
      </c>
      <c r="C34">
        <f t="shared" si="6"/>
        <v>475</v>
      </c>
      <c r="D34">
        <f t="shared" si="4"/>
        <v>445</v>
      </c>
      <c r="E34">
        <f t="shared" si="5"/>
        <v>525</v>
      </c>
      <c r="F34">
        <f>$G$4+'Data - DA'!D45</f>
        <v>690</v>
      </c>
      <c r="G34">
        <f t="shared" si="2"/>
        <v>690</v>
      </c>
      <c r="H34" t="str">
        <f>'Data - DA'!G45</f>
        <v xml:space="preserve">Aerobar Bolts: Top 25mm; Bottom 30mm </v>
      </c>
    </row>
    <row r="35" spans="2:8" x14ac:dyDescent="0.25">
      <c r="B35" t="str">
        <f>TEXT($B$3,0) &amp;" ----- "&amp;'Data - DA'!B46</f>
        <v>Frame: 58 ----- Stem: 70x60  ----- Carbon Aerobar + 20 + bridge + 5</v>
      </c>
      <c r="C35">
        <f t="shared" si="6"/>
        <v>475</v>
      </c>
      <c r="D35">
        <f t="shared" si="4"/>
        <v>445</v>
      </c>
      <c r="E35">
        <f t="shared" si="5"/>
        <v>525</v>
      </c>
      <c r="F35">
        <f>$G$4+'Data - DA'!D46</f>
        <v>690</v>
      </c>
      <c r="G35">
        <f t="shared" si="2"/>
        <v>690</v>
      </c>
      <c r="H35" t="str">
        <f>'Data - DA'!G46</f>
        <v xml:space="preserve">Aerobar Bolts: Top 30mm; Bottom 30mm </v>
      </c>
    </row>
    <row r="36" spans="2:8" x14ac:dyDescent="0.25">
      <c r="B36" t="str">
        <f>TEXT($B$3,0) &amp;" ----- "&amp;'Data - DA'!B47</f>
        <v>Frame: 58 ----- Stem: 70x60  ----- Carbon Aerobar + 30 + bridge</v>
      </c>
      <c r="C36">
        <f t="shared" si="6"/>
        <v>475</v>
      </c>
      <c r="D36">
        <f t="shared" si="4"/>
        <v>445</v>
      </c>
      <c r="E36">
        <f t="shared" si="5"/>
        <v>525</v>
      </c>
      <c r="F36">
        <f>$G$4+'Data - DA'!D47</f>
        <v>695</v>
      </c>
      <c r="G36">
        <f t="shared" si="2"/>
        <v>695</v>
      </c>
      <c r="H36" t="str">
        <f>'Data - DA'!G47</f>
        <v xml:space="preserve">Aerobar Bolts: Top 30mm; Bottom 30mm </v>
      </c>
    </row>
    <row r="37" spans="2:8" x14ac:dyDescent="0.25">
      <c r="B37" t="str">
        <f>TEXT($B$3,0) &amp;" ----- "&amp;'Data - DA'!B48</f>
        <v>Frame: 58 ----- Stem: 70x60  ----- Carbon Aerobar + 30 + bridge + 5</v>
      </c>
      <c r="C37">
        <f t="shared" si="6"/>
        <v>475</v>
      </c>
      <c r="D37">
        <f t="shared" si="4"/>
        <v>445</v>
      </c>
      <c r="E37">
        <f t="shared" si="5"/>
        <v>525</v>
      </c>
      <c r="F37">
        <f>$G$4+'Data - DA'!D48</f>
        <v>700</v>
      </c>
      <c r="G37">
        <f t="shared" si="2"/>
        <v>700</v>
      </c>
      <c r="H37" t="str">
        <f>'Data - DA'!G48</f>
        <v xml:space="preserve">Aerobar Bolts: Top 35mm; Bottom 30mm </v>
      </c>
    </row>
    <row r="38" spans="2:8" x14ac:dyDescent="0.25">
      <c r="B38" t="str">
        <f>TEXT($B$3,0) &amp;" ----- "&amp;'Data - DA'!B49</f>
        <v>Frame: 58 ----- Stem: 70x60  ----- Carbon Aerobar + 40 + bridge</v>
      </c>
      <c r="C38">
        <f t="shared" si="6"/>
        <v>475</v>
      </c>
      <c r="D38">
        <f t="shared" si="4"/>
        <v>445</v>
      </c>
      <c r="E38">
        <f t="shared" si="5"/>
        <v>525</v>
      </c>
      <c r="F38">
        <f>$G$4+'Data - DA'!D49</f>
        <v>705</v>
      </c>
      <c r="G38">
        <f t="shared" si="2"/>
        <v>705</v>
      </c>
      <c r="H38" t="str">
        <f>'Data - DA'!G49</f>
        <v xml:space="preserve">Aerobar Bolts: Top 35mm; Bottom 30mm </v>
      </c>
    </row>
    <row r="39" spans="2:8" x14ac:dyDescent="0.25">
      <c r="B39" t="str">
        <f>TEXT($B$3,0) &amp;" ----- "&amp;'Data - DA'!B50</f>
        <v>Frame: 58 ----- Stem: 70x60  ----- Carbon Aerobar + 40 + bridge + 5</v>
      </c>
      <c r="C39">
        <f t="shared" si="6"/>
        <v>475</v>
      </c>
      <c r="D39">
        <f t="shared" si="4"/>
        <v>445</v>
      </c>
      <c r="E39">
        <f t="shared" si="5"/>
        <v>525</v>
      </c>
      <c r="F39">
        <f>$G$4+'Data - DA'!D50</f>
        <v>710</v>
      </c>
      <c r="G39">
        <f t="shared" si="2"/>
        <v>710</v>
      </c>
      <c r="H39" t="str">
        <f>'Data - DA'!G50</f>
        <v xml:space="preserve">Aerobar Bolts: Top 35mm; Bottom 30mm </v>
      </c>
    </row>
    <row r="40" spans="2:8" x14ac:dyDescent="0.25">
      <c r="B40" t="str">
        <f>TEXT($B$3,0) &amp;" ----- "&amp;'Data - DA'!B51</f>
        <v>Frame: 58 ----- Stem: 70x60  ----- Carbon Aerobar + 40 + bridge + 10</v>
      </c>
      <c r="C40">
        <f t="shared" si="6"/>
        <v>475</v>
      </c>
      <c r="D40">
        <f t="shared" si="4"/>
        <v>445</v>
      </c>
      <c r="E40">
        <f t="shared" si="5"/>
        <v>525</v>
      </c>
      <c r="F40">
        <f>$G$4+'Data - DA'!D51</f>
        <v>715</v>
      </c>
      <c r="G40">
        <f t="shared" si="2"/>
        <v>715</v>
      </c>
      <c r="H40" t="str">
        <f>'Data - DA'!G51</f>
        <v xml:space="preserve">Aerobar Bolts: Top 40mm; Bottom 30mm </v>
      </c>
    </row>
    <row r="41" spans="2:8" x14ac:dyDescent="0.25">
      <c r="B41" t="str">
        <f>TEXT($B$3,0) &amp;" ----- "&amp;'Data - DA'!B52</f>
        <v>Frame: 58 ----- Stem: 70x60  ----- Carbon Aerobar + 40 + bridge + 10 + 5</v>
      </c>
      <c r="C41">
        <f t="shared" si="6"/>
        <v>475</v>
      </c>
      <c r="D41">
        <f t="shared" si="4"/>
        <v>445</v>
      </c>
      <c r="E41">
        <f t="shared" si="5"/>
        <v>525</v>
      </c>
      <c r="F41">
        <f>$G$4+'Data - DA'!D52</f>
        <v>720</v>
      </c>
      <c r="G41">
        <f t="shared" si="2"/>
        <v>720</v>
      </c>
      <c r="H41" t="str">
        <f>'Data - DA'!G52</f>
        <v xml:space="preserve">Aerobar Bolts: Top 45mm; Bottom 30mm </v>
      </c>
    </row>
    <row r="42" spans="2:8" x14ac:dyDescent="0.25">
      <c r="B42" t="str">
        <f>TEXT($B$3,0) &amp;" ----- "&amp;'Data - DA'!B53</f>
        <v>Frame: 58 ----- Stem: 100x30  ----- Carbon Aerobar</v>
      </c>
      <c r="C42">
        <f>$M$8</f>
        <v>515</v>
      </c>
      <c r="D42">
        <f t="shared" ref="D42:D56" si="7">$M$9</f>
        <v>485</v>
      </c>
      <c r="E42">
        <f t="shared" ref="E42:E56" si="8">$M$10</f>
        <v>565</v>
      </c>
      <c r="G42">
        <f t="shared" si="2"/>
        <v>0</v>
      </c>
      <c r="H42" t="str">
        <f>'Data - DA'!G53</f>
        <v xml:space="preserve">Aerobar Bolts: Top N/A; Bottom N/A </v>
      </c>
    </row>
    <row r="43" spans="2:8" x14ac:dyDescent="0.25">
      <c r="B43" t="str">
        <f>TEXT($B$3,0) &amp;" ----- "&amp;'Data - DA'!B54</f>
        <v>Frame: 58 ----- Stem: 100x30  ----- Carbon Aerobar + 5</v>
      </c>
      <c r="C43">
        <f t="shared" ref="C43:C56" si="9">$M$8</f>
        <v>515</v>
      </c>
      <c r="D43">
        <f t="shared" si="7"/>
        <v>485</v>
      </c>
      <c r="E43">
        <f t="shared" si="8"/>
        <v>565</v>
      </c>
      <c r="F43">
        <f>$G$4+'Data - DA'!D54</f>
        <v>635</v>
      </c>
      <c r="G43">
        <f t="shared" si="2"/>
        <v>635</v>
      </c>
      <c r="H43" t="str">
        <f>'Data - DA'!G54</f>
        <v xml:space="preserve">Aerobar Bolts: Top 45mm; Bottom N/A </v>
      </c>
    </row>
    <row r="44" spans="2:8" x14ac:dyDescent="0.25">
      <c r="B44" t="str">
        <f>TEXT($B$3,0) &amp;" ----- "&amp;'Data - DA'!B55</f>
        <v>Frame: 58 ----- Stem: 100x30  ----- Carbon Aerobar + 10</v>
      </c>
      <c r="C44">
        <f t="shared" si="9"/>
        <v>515</v>
      </c>
      <c r="D44">
        <f t="shared" si="7"/>
        <v>485</v>
      </c>
      <c r="E44">
        <f t="shared" si="8"/>
        <v>565</v>
      </c>
      <c r="F44">
        <f>$G$4+'Data - DA'!D55</f>
        <v>640</v>
      </c>
      <c r="G44">
        <f t="shared" si="2"/>
        <v>640</v>
      </c>
      <c r="H44" t="str">
        <f>'Data - DA'!G55</f>
        <v xml:space="preserve">Aerobar Bolts: Top 50mm; Bottom N/A </v>
      </c>
    </row>
    <row r="45" spans="2:8" x14ac:dyDescent="0.25">
      <c r="B45" t="str">
        <f>TEXT($B$3,0) &amp;" ----- "&amp;'Data - DA'!B56</f>
        <v>Frame: 58 ----- Stem: 100x30  ----- Carbon Aerobar + 5 + 10</v>
      </c>
      <c r="C45">
        <f t="shared" si="9"/>
        <v>515</v>
      </c>
      <c r="D45">
        <f t="shared" si="7"/>
        <v>485</v>
      </c>
      <c r="E45">
        <f t="shared" si="8"/>
        <v>565</v>
      </c>
      <c r="F45">
        <f>$G$4+'Data - DA'!D56</f>
        <v>645</v>
      </c>
      <c r="G45">
        <f t="shared" si="2"/>
        <v>645</v>
      </c>
      <c r="H45" t="str">
        <f>'Data - DA'!G56</f>
        <v xml:space="preserve">Aerobar Bolts: Top 55mm; Bottom N/A </v>
      </c>
    </row>
    <row r="46" spans="2:8" x14ac:dyDescent="0.25">
      <c r="B46" t="str">
        <f>TEXT($B$3,0) &amp;" ----- "&amp;'Data - DA'!B57</f>
        <v>Frame: 58 ----- Stem: 100x30  ----- Carbon Aerobar + 20</v>
      </c>
      <c r="C46">
        <f t="shared" si="9"/>
        <v>515</v>
      </c>
      <c r="D46">
        <f t="shared" si="7"/>
        <v>485</v>
      </c>
      <c r="E46">
        <f t="shared" si="8"/>
        <v>565</v>
      </c>
      <c r="F46">
        <f>$G$4+'Data - DA'!D57</f>
        <v>650</v>
      </c>
      <c r="G46">
        <f t="shared" si="2"/>
        <v>650</v>
      </c>
      <c r="H46" t="str">
        <f>'Data - DA'!G57</f>
        <v xml:space="preserve">Aerobar Bolts: Top 20mm; Bottom 30mm </v>
      </c>
    </row>
    <row r="47" spans="2:8" x14ac:dyDescent="0.25">
      <c r="B47" t="str">
        <f>TEXT($B$3,0) &amp;" ----- "&amp;'Data - DA'!B58</f>
        <v>Frame: 58 ----- Stem: 100x30  ----- Carbon Aerobar + 20 + 5</v>
      </c>
      <c r="C47">
        <f t="shared" si="9"/>
        <v>515</v>
      </c>
      <c r="D47">
        <f t="shared" si="7"/>
        <v>485</v>
      </c>
      <c r="E47">
        <f t="shared" si="8"/>
        <v>565</v>
      </c>
      <c r="F47">
        <f>$G$4+'Data - DA'!D58</f>
        <v>655</v>
      </c>
      <c r="G47">
        <f t="shared" si="2"/>
        <v>655</v>
      </c>
      <c r="H47" t="str">
        <f>'Data - DA'!G58</f>
        <v xml:space="preserve">Aerobar Bolts: Top 25mm; Bottom 30mm </v>
      </c>
    </row>
    <row r="48" spans="2:8" x14ac:dyDescent="0.25">
      <c r="B48" t="str">
        <f>TEXT($B$3,0) &amp;" ----- "&amp;'Data - DA'!B59</f>
        <v>Frame: 58 ----- Stem: 100x30  ----- Carbon Aerobar + 20 + bridge</v>
      </c>
      <c r="C48">
        <f t="shared" si="9"/>
        <v>515</v>
      </c>
      <c r="D48">
        <f t="shared" si="7"/>
        <v>485</v>
      </c>
      <c r="E48">
        <f t="shared" si="8"/>
        <v>565</v>
      </c>
      <c r="F48">
        <f>$G$4+'Data - DA'!D59</f>
        <v>655</v>
      </c>
      <c r="G48">
        <f t="shared" si="2"/>
        <v>655</v>
      </c>
      <c r="H48" t="str">
        <f>'Data - DA'!G59</f>
        <v xml:space="preserve">Aerobar Bolts: Top 25mm; Bottom 30mm </v>
      </c>
    </row>
    <row r="49" spans="2:8" x14ac:dyDescent="0.25">
      <c r="B49" t="str">
        <f>TEXT($B$3,0) &amp;" ----- "&amp;'Data - DA'!B60</f>
        <v>Frame: 58 ----- Stem: 100x30  ----- Carbon Aerobar + 30</v>
      </c>
      <c r="C49">
        <f t="shared" si="9"/>
        <v>515</v>
      </c>
      <c r="D49">
        <f t="shared" si="7"/>
        <v>485</v>
      </c>
      <c r="E49">
        <f t="shared" si="8"/>
        <v>565</v>
      </c>
      <c r="F49">
        <f>$G$4+'Data - DA'!D60</f>
        <v>660</v>
      </c>
      <c r="G49">
        <f t="shared" si="2"/>
        <v>660</v>
      </c>
      <c r="H49" t="str">
        <f>'Data - DA'!G60</f>
        <v xml:space="preserve">Aerobar Bolts: Top 25mm; Bottom 30mm </v>
      </c>
    </row>
    <row r="50" spans="2:8" x14ac:dyDescent="0.25">
      <c r="B50" t="str">
        <f>TEXT($B$3,0) &amp;" ----- "&amp;'Data - DA'!B61</f>
        <v>Frame: 58 ----- Stem: 100x30  ----- Carbon Aerobar + 20 + bridge + 5</v>
      </c>
      <c r="C50">
        <f t="shared" si="9"/>
        <v>515</v>
      </c>
      <c r="D50">
        <f t="shared" si="7"/>
        <v>485</v>
      </c>
      <c r="E50">
        <f t="shared" si="8"/>
        <v>565</v>
      </c>
      <c r="F50">
        <f>$G$4+'Data - DA'!D61</f>
        <v>660</v>
      </c>
      <c r="G50">
        <f t="shared" si="2"/>
        <v>660</v>
      </c>
      <c r="H50" t="str">
        <f>'Data - DA'!G61</f>
        <v xml:space="preserve">Aerobar Bolts: Top 30mm; Bottom 30mm </v>
      </c>
    </row>
    <row r="51" spans="2:8" x14ac:dyDescent="0.25">
      <c r="B51" t="str">
        <f>TEXT($B$3,0) &amp;" ----- "&amp;'Data - DA'!B62</f>
        <v>Frame: 58 ----- Stem: 100x30  ----- Carbon Aerobar + 30 + bridge</v>
      </c>
      <c r="C51">
        <f t="shared" si="9"/>
        <v>515</v>
      </c>
      <c r="D51">
        <f t="shared" si="7"/>
        <v>485</v>
      </c>
      <c r="E51">
        <f t="shared" si="8"/>
        <v>565</v>
      </c>
      <c r="F51">
        <f>$G$4+'Data - DA'!D62</f>
        <v>665</v>
      </c>
      <c r="G51">
        <f t="shared" si="2"/>
        <v>665</v>
      </c>
      <c r="H51" t="str">
        <f>'Data - DA'!G62</f>
        <v xml:space="preserve">Aerobar Bolts: Top 30mm; Bottom 30mm </v>
      </c>
    </row>
    <row r="52" spans="2:8" x14ac:dyDescent="0.25">
      <c r="B52" t="str">
        <f>TEXT($B$3,0) &amp;" ----- "&amp;'Data - DA'!B63</f>
        <v>Frame: 58 ----- Stem: 100x30  ----- Carbon Aerobar + 30 + bridge + 5</v>
      </c>
      <c r="C52">
        <f t="shared" si="9"/>
        <v>515</v>
      </c>
      <c r="D52">
        <f t="shared" si="7"/>
        <v>485</v>
      </c>
      <c r="E52">
        <f t="shared" si="8"/>
        <v>565</v>
      </c>
      <c r="F52">
        <f>$G$4+'Data - DA'!D63</f>
        <v>670</v>
      </c>
      <c r="G52">
        <f t="shared" si="2"/>
        <v>670</v>
      </c>
      <c r="H52" t="str">
        <f>'Data - DA'!G63</f>
        <v xml:space="preserve">Aerobar Bolts: Top 35mm; Bottom 30mm </v>
      </c>
    </row>
    <row r="53" spans="2:8" x14ac:dyDescent="0.25">
      <c r="B53" t="str">
        <f>TEXT($B$3,0) &amp;" ----- "&amp;'Data - DA'!B64</f>
        <v>Frame: 58 ----- Stem: 100x30  ----- Carbon Aerobar + 40 + bridge</v>
      </c>
      <c r="C53">
        <f t="shared" si="9"/>
        <v>515</v>
      </c>
      <c r="D53">
        <f t="shared" si="7"/>
        <v>485</v>
      </c>
      <c r="E53">
        <f t="shared" si="8"/>
        <v>565</v>
      </c>
      <c r="F53">
        <f>$G$4+'Data - DA'!D64</f>
        <v>675</v>
      </c>
      <c r="G53">
        <f t="shared" si="2"/>
        <v>675</v>
      </c>
      <c r="H53" t="str">
        <f>'Data - DA'!G64</f>
        <v xml:space="preserve">Aerobar Bolts: Top 35mm; Bottom 30mm </v>
      </c>
    </row>
    <row r="54" spans="2:8" x14ac:dyDescent="0.25">
      <c r="B54" t="str">
        <f>TEXT($B$3,0) &amp;" ----- "&amp;'Data - DA'!B65</f>
        <v>Frame: 58 ----- Stem: 100x30  ----- Carbon Aerobar + 40 + bridge + 5</v>
      </c>
      <c r="C54">
        <f t="shared" si="9"/>
        <v>515</v>
      </c>
      <c r="D54">
        <f t="shared" si="7"/>
        <v>485</v>
      </c>
      <c r="E54">
        <f t="shared" si="8"/>
        <v>565</v>
      </c>
      <c r="F54">
        <f>$G$4+'Data - DA'!D65</f>
        <v>680</v>
      </c>
      <c r="G54">
        <f t="shared" si="2"/>
        <v>680</v>
      </c>
      <c r="H54" t="str">
        <f>'Data - DA'!G65</f>
        <v xml:space="preserve">Aerobar Bolts: Top 35mm; Bottom 30mm </v>
      </c>
    </row>
    <row r="55" spans="2:8" x14ac:dyDescent="0.25">
      <c r="B55" t="str">
        <f>TEXT($B$3,0) &amp;" ----- "&amp;'Data - DA'!B66</f>
        <v>Frame: 58 ----- Stem: 100x30  ----- Carbon Aerobar + 40 + bridge + 10</v>
      </c>
      <c r="C55">
        <f t="shared" si="9"/>
        <v>515</v>
      </c>
      <c r="D55">
        <f t="shared" si="7"/>
        <v>485</v>
      </c>
      <c r="E55">
        <f t="shared" si="8"/>
        <v>565</v>
      </c>
      <c r="F55">
        <f>$G$4+'Data - DA'!D66</f>
        <v>685</v>
      </c>
      <c r="G55">
        <f t="shared" si="2"/>
        <v>685</v>
      </c>
      <c r="H55" t="str">
        <f>'Data - DA'!G66</f>
        <v xml:space="preserve">Aerobar Bolts: Top 40mm; Bottom 30mm </v>
      </c>
    </row>
    <row r="56" spans="2:8" x14ac:dyDescent="0.25">
      <c r="B56" t="str">
        <f>TEXT($B$3,0) &amp;" ----- "&amp;'Data - DA'!B67</f>
        <v>Frame: 58 ----- Stem: 100x30  ----- Carbon Aerobar + 40 + bridge + 10 + 5</v>
      </c>
      <c r="C56">
        <f t="shared" si="9"/>
        <v>515</v>
      </c>
      <c r="D56">
        <f t="shared" si="7"/>
        <v>485</v>
      </c>
      <c r="E56">
        <f t="shared" si="8"/>
        <v>565</v>
      </c>
      <c r="F56">
        <f>$G$4+'Data - DA'!D67</f>
        <v>690</v>
      </c>
      <c r="G56">
        <f t="shared" si="2"/>
        <v>690</v>
      </c>
      <c r="H56" t="str">
        <f>'Data - DA'!G67</f>
        <v xml:space="preserve">Aerobar Bolts: Top 45mm; Bottom 30mm </v>
      </c>
    </row>
    <row r="57" spans="2:8" x14ac:dyDescent="0.25">
      <c r="B57" t="str">
        <f>TEXT($B$3,0) &amp;" ----- "&amp;'Data - DA'!B68</f>
        <v>Frame: 58 ----- Stem: 100x60  ----- Carbon Aerobar</v>
      </c>
      <c r="C57">
        <f>$N$8</f>
        <v>505</v>
      </c>
      <c r="D57">
        <f t="shared" ref="D57:D71" si="10">$N$9</f>
        <v>475</v>
      </c>
      <c r="E57">
        <f t="shared" ref="E57:E71" si="11">$N$10</f>
        <v>555</v>
      </c>
      <c r="G57">
        <f t="shared" si="2"/>
        <v>0</v>
      </c>
      <c r="H57" t="str">
        <f>'Data - DA'!G68</f>
        <v xml:space="preserve">Aerobar Bolts: Top N/A; Bottom N/A </v>
      </c>
    </row>
    <row r="58" spans="2:8" x14ac:dyDescent="0.25">
      <c r="B58" t="str">
        <f>TEXT($B$3,0) &amp;" ----- "&amp;'Data - DA'!B69</f>
        <v>Frame: 58 ----- Stem: 100x60  ----- Carbon Aerobar + 5</v>
      </c>
      <c r="C58">
        <f t="shared" ref="C58:C71" si="12">$N$8</f>
        <v>505</v>
      </c>
      <c r="D58">
        <f t="shared" si="10"/>
        <v>475</v>
      </c>
      <c r="E58">
        <f t="shared" si="11"/>
        <v>555</v>
      </c>
      <c r="F58">
        <f>$G$4+'Data - DA'!D69</f>
        <v>665</v>
      </c>
      <c r="G58">
        <f t="shared" ref="G58:G151" si="13">ROUND(F58/5,0)*5</f>
        <v>665</v>
      </c>
      <c r="H58" t="str">
        <f>'Data - DA'!G69</f>
        <v xml:space="preserve">Aerobar Bolts: Top 45mm; Bottom N/A </v>
      </c>
    </row>
    <row r="59" spans="2:8" x14ac:dyDescent="0.25">
      <c r="B59" t="str">
        <f>TEXT($B$3,0) &amp;" ----- "&amp;'Data - DA'!B70</f>
        <v>Frame: 58 ----- Stem: 100x60  ----- Carbon Aerobar + 10</v>
      </c>
      <c r="C59">
        <f t="shared" si="12"/>
        <v>505</v>
      </c>
      <c r="D59">
        <f t="shared" si="10"/>
        <v>475</v>
      </c>
      <c r="E59">
        <f t="shared" si="11"/>
        <v>555</v>
      </c>
      <c r="F59">
        <f>$G$4+'Data - DA'!D70</f>
        <v>670</v>
      </c>
      <c r="G59">
        <f t="shared" si="13"/>
        <v>670</v>
      </c>
      <c r="H59" t="str">
        <f>'Data - DA'!G70</f>
        <v xml:space="preserve">Aerobar Bolts: Top 50mm; Bottom N/A </v>
      </c>
    </row>
    <row r="60" spans="2:8" x14ac:dyDescent="0.25">
      <c r="B60" t="str">
        <f>TEXT($B$3,0) &amp;" ----- "&amp;'Data - DA'!B71</f>
        <v>Frame: 58 ----- Stem: 100x60  ----- Carbon Aerobar + 5 + 10</v>
      </c>
      <c r="C60">
        <f t="shared" si="12"/>
        <v>505</v>
      </c>
      <c r="D60">
        <f t="shared" si="10"/>
        <v>475</v>
      </c>
      <c r="E60">
        <f t="shared" si="11"/>
        <v>555</v>
      </c>
      <c r="F60">
        <f>$G$4+'Data - DA'!D71</f>
        <v>675</v>
      </c>
      <c r="G60">
        <f t="shared" si="13"/>
        <v>675</v>
      </c>
      <c r="H60" t="str">
        <f>'Data - DA'!G71</f>
        <v xml:space="preserve">Aerobar Bolts: Top 55mm; Bottom N/A </v>
      </c>
    </row>
    <row r="61" spans="2:8" x14ac:dyDescent="0.25">
      <c r="B61" t="str">
        <f>TEXT($B$3,0) &amp;" ----- "&amp;'Data - DA'!B72</f>
        <v>Frame: 58 ----- Stem: 100x60  ----- Carbon Aerobar + 20</v>
      </c>
      <c r="C61">
        <f t="shared" si="12"/>
        <v>505</v>
      </c>
      <c r="D61">
        <f t="shared" si="10"/>
        <v>475</v>
      </c>
      <c r="E61">
        <f t="shared" si="11"/>
        <v>555</v>
      </c>
      <c r="F61">
        <f>$G$4+'Data - DA'!D72</f>
        <v>680</v>
      </c>
      <c r="G61">
        <f t="shared" si="13"/>
        <v>680</v>
      </c>
      <c r="H61" t="str">
        <f>'Data - DA'!G72</f>
        <v xml:space="preserve">Aerobar Bolts: Top 20mm; Bottom 30mm </v>
      </c>
    </row>
    <row r="62" spans="2:8" x14ac:dyDescent="0.25">
      <c r="B62" t="str">
        <f>TEXT($B$3,0) &amp;" ----- "&amp;'Data - DA'!B73</f>
        <v>Frame: 58 ----- Stem: 100x60  ----- Carbon Aerobar + 20 + 5</v>
      </c>
      <c r="C62">
        <f t="shared" si="12"/>
        <v>505</v>
      </c>
      <c r="D62">
        <f t="shared" si="10"/>
        <v>475</v>
      </c>
      <c r="E62">
        <f t="shared" si="11"/>
        <v>555</v>
      </c>
      <c r="F62">
        <f>$G$4+'Data - DA'!D73</f>
        <v>685</v>
      </c>
      <c r="G62">
        <f t="shared" si="13"/>
        <v>685</v>
      </c>
      <c r="H62" t="str">
        <f>'Data - DA'!G73</f>
        <v xml:space="preserve">Aerobar Bolts: Top 25mm; Bottom 30mm </v>
      </c>
    </row>
    <row r="63" spans="2:8" x14ac:dyDescent="0.25">
      <c r="B63" t="str">
        <f>TEXT($B$3,0) &amp;" ----- "&amp;'Data - DA'!B74</f>
        <v>Frame: 58 ----- Stem: 100x60  ----- Carbon Aerobar + 20 + bridge</v>
      </c>
      <c r="C63">
        <f t="shared" si="12"/>
        <v>505</v>
      </c>
      <c r="D63">
        <f t="shared" si="10"/>
        <v>475</v>
      </c>
      <c r="E63">
        <f t="shared" si="11"/>
        <v>555</v>
      </c>
      <c r="F63">
        <f>$G$4+'Data - DA'!D74</f>
        <v>685</v>
      </c>
      <c r="G63">
        <f t="shared" si="13"/>
        <v>685</v>
      </c>
      <c r="H63" t="str">
        <f>'Data - DA'!G74</f>
        <v xml:space="preserve">Aerobar Bolts: Top 25mm; Bottom 30mm </v>
      </c>
    </row>
    <row r="64" spans="2:8" x14ac:dyDescent="0.25">
      <c r="B64" t="str">
        <f>TEXT($B$3,0) &amp;" ----- "&amp;'Data - DA'!B75</f>
        <v>Frame: 58 ----- Stem: 100x60  ----- Carbon Aerobar + 30</v>
      </c>
      <c r="C64">
        <f t="shared" si="12"/>
        <v>505</v>
      </c>
      <c r="D64">
        <f t="shared" si="10"/>
        <v>475</v>
      </c>
      <c r="E64">
        <f t="shared" si="11"/>
        <v>555</v>
      </c>
      <c r="F64">
        <f>$G$4+'Data - DA'!D75</f>
        <v>690</v>
      </c>
      <c r="G64">
        <f t="shared" si="13"/>
        <v>690</v>
      </c>
      <c r="H64" t="str">
        <f>'Data - DA'!G75</f>
        <v xml:space="preserve">Aerobar Bolts: Top 25mm; Bottom 30mm </v>
      </c>
    </row>
    <row r="65" spans="2:8" x14ac:dyDescent="0.25">
      <c r="B65" t="str">
        <f>TEXT($B$3,0) &amp;" ----- "&amp;'Data - DA'!B76</f>
        <v>Frame: 58 ----- Stem: 100x60  ----- Carbon Aerobar + 20 + bridge + 5</v>
      </c>
      <c r="C65">
        <f t="shared" si="12"/>
        <v>505</v>
      </c>
      <c r="D65">
        <f t="shared" si="10"/>
        <v>475</v>
      </c>
      <c r="E65">
        <f t="shared" si="11"/>
        <v>555</v>
      </c>
      <c r="F65">
        <f>$G$4+'Data - DA'!D76</f>
        <v>690</v>
      </c>
      <c r="G65">
        <f t="shared" si="13"/>
        <v>690</v>
      </c>
      <c r="H65" t="str">
        <f>'Data - DA'!G76</f>
        <v xml:space="preserve">Aerobar Bolts: Top 30mm; Bottom 30mm </v>
      </c>
    </row>
    <row r="66" spans="2:8" x14ac:dyDescent="0.25">
      <c r="B66" t="str">
        <f>TEXT($B$3,0) &amp;" ----- "&amp;'Data - DA'!B77</f>
        <v>Frame: 58 ----- Stem: 100x60  ----- Carbon Aerobar + 30 + bridge</v>
      </c>
      <c r="C66">
        <f t="shared" si="12"/>
        <v>505</v>
      </c>
      <c r="D66">
        <f t="shared" si="10"/>
        <v>475</v>
      </c>
      <c r="E66">
        <f t="shared" si="11"/>
        <v>555</v>
      </c>
      <c r="F66">
        <f>$G$4+'Data - DA'!D77</f>
        <v>695</v>
      </c>
      <c r="G66">
        <f t="shared" si="13"/>
        <v>695</v>
      </c>
      <c r="H66" t="str">
        <f>'Data - DA'!G77</f>
        <v xml:space="preserve">Aerobar Bolts: Top 30mm; Bottom 30mm </v>
      </c>
    </row>
    <row r="67" spans="2:8" x14ac:dyDescent="0.25">
      <c r="B67" t="str">
        <f>TEXT($B$3,0) &amp;" ----- "&amp;'Data - DA'!B78</f>
        <v>Frame: 58 ----- Stem: 100x60  ----- Carbon Aerobar + 30 + bridge + 5</v>
      </c>
      <c r="C67">
        <f t="shared" si="12"/>
        <v>505</v>
      </c>
      <c r="D67">
        <f t="shared" si="10"/>
        <v>475</v>
      </c>
      <c r="E67">
        <f t="shared" si="11"/>
        <v>555</v>
      </c>
      <c r="F67">
        <f>$G$4+'Data - DA'!D78</f>
        <v>700</v>
      </c>
      <c r="G67">
        <f t="shared" si="13"/>
        <v>700</v>
      </c>
      <c r="H67" t="str">
        <f>'Data - DA'!G78</f>
        <v xml:space="preserve">Aerobar Bolts: Top 35mm; Bottom 30mm </v>
      </c>
    </row>
    <row r="68" spans="2:8" x14ac:dyDescent="0.25">
      <c r="B68" t="str">
        <f>TEXT($B$3,0) &amp;" ----- "&amp;'Data - DA'!B79</f>
        <v>Frame: 58 ----- Stem: 100x60  ----- Carbon Aerobar + 40 + bridge</v>
      </c>
      <c r="C68">
        <f t="shared" si="12"/>
        <v>505</v>
      </c>
      <c r="D68">
        <f t="shared" si="10"/>
        <v>475</v>
      </c>
      <c r="E68">
        <f t="shared" si="11"/>
        <v>555</v>
      </c>
      <c r="F68">
        <f>$G$4+'Data - DA'!D79</f>
        <v>705</v>
      </c>
      <c r="G68">
        <f t="shared" si="13"/>
        <v>705</v>
      </c>
      <c r="H68" t="str">
        <f>'Data - DA'!G79</f>
        <v xml:space="preserve">Aerobar Bolts: Top 35mm; Bottom 30mm </v>
      </c>
    </row>
    <row r="69" spans="2:8" x14ac:dyDescent="0.25">
      <c r="B69" t="str">
        <f>TEXT($B$3,0) &amp;" ----- "&amp;'Data - DA'!B80</f>
        <v>Frame: 58 ----- Stem: 100x60  ----- Carbon Aerobar + 40 + bridge + 5</v>
      </c>
      <c r="C69">
        <f t="shared" si="12"/>
        <v>505</v>
      </c>
      <c r="D69">
        <f t="shared" si="10"/>
        <v>475</v>
      </c>
      <c r="E69">
        <f t="shared" si="11"/>
        <v>555</v>
      </c>
      <c r="F69">
        <f>$G$4+'Data - DA'!D80</f>
        <v>710</v>
      </c>
      <c r="G69">
        <f t="shared" si="13"/>
        <v>710</v>
      </c>
      <c r="H69" t="str">
        <f>'Data - DA'!G80</f>
        <v xml:space="preserve">Aerobar Bolts: Top 35mm; Bottom 30mm </v>
      </c>
    </row>
    <row r="70" spans="2:8" x14ac:dyDescent="0.25">
      <c r="B70" t="str">
        <f>TEXT($B$3,0) &amp;" ----- "&amp;'Data - DA'!B81</f>
        <v>Frame: 58 ----- Stem: 100x60  ----- Carbon Aerobar + 40 + bridge + 10</v>
      </c>
      <c r="C70">
        <f t="shared" si="12"/>
        <v>505</v>
      </c>
      <c r="D70">
        <f t="shared" si="10"/>
        <v>475</v>
      </c>
      <c r="E70">
        <f t="shared" si="11"/>
        <v>555</v>
      </c>
      <c r="F70">
        <f>$G$4+'Data - DA'!D81</f>
        <v>715</v>
      </c>
      <c r="G70">
        <f t="shared" si="13"/>
        <v>715</v>
      </c>
      <c r="H70" t="str">
        <f>'Data - DA'!G81</f>
        <v xml:space="preserve">Aerobar Bolts: Top 40mm; Bottom 30mm </v>
      </c>
    </row>
    <row r="71" spans="2:8" x14ac:dyDescent="0.25">
      <c r="B71" t="str">
        <f>TEXT($B$3,0) &amp;" ----- "&amp;'Data - DA'!B82</f>
        <v>Frame: 58 ----- Stem: 100x60  ----- Carbon Aerobar + 40 + bridge + 10 + 5</v>
      </c>
      <c r="C71">
        <f t="shared" si="12"/>
        <v>505</v>
      </c>
      <c r="D71">
        <f t="shared" si="10"/>
        <v>475</v>
      </c>
      <c r="E71">
        <f t="shared" si="11"/>
        <v>555</v>
      </c>
      <c r="F71">
        <f>$G$4+'Data - DA'!D82</f>
        <v>720</v>
      </c>
      <c r="G71">
        <f t="shared" si="13"/>
        <v>720</v>
      </c>
      <c r="H71" t="str">
        <f>'Data - DA'!G82</f>
        <v xml:space="preserve">Aerobar Bolts: Top 45mm; Bottom 30mm </v>
      </c>
    </row>
    <row r="72" spans="2:8" x14ac:dyDescent="0.25">
      <c r="B72" t="str">
        <f>TEXT($B$3,0) &amp;" ----- "&amp;'Data - DA'!B83</f>
        <v>Frame: 58 ----- Stem: 90x0  ----- Carbon Aerobar</v>
      </c>
      <c r="C72">
        <f>$O$8</f>
        <v>510</v>
      </c>
      <c r="D72">
        <f t="shared" ref="D72:D86" si="14">$O$9</f>
        <v>480</v>
      </c>
      <c r="E72">
        <f t="shared" ref="E72:E86" si="15">$O$10</f>
        <v>560</v>
      </c>
      <c r="G72">
        <f t="shared" ref="G72:G101" si="16">ROUND(F72/5,0)*5</f>
        <v>0</v>
      </c>
      <c r="H72" t="str">
        <f>'Data - DA'!G83</f>
        <v xml:space="preserve">Aerobar Bolts: Top N/A; Bottom N/A </v>
      </c>
    </row>
    <row r="73" spans="2:8" x14ac:dyDescent="0.25">
      <c r="B73" t="str">
        <f>TEXT($B$3,0) &amp;" ----- "&amp;'Data - DA'!B84</f>
        <v>Frame: 58 ----- Stem: 90x0  ----- Carbon Aerobar + 5</v>
      </c>
      <c r="C73">
        <f t="shared" ref="C73:C86" si="17">$O$8</f>
        <v>510</v>
      </c>
      <c r="D73">
        <f t="shared" si="14"/>
        <v>480</v>
      </c>
      <c r="E73">
        <f t="shared" si="15"/>
        <v>560</v>
      </c>
      <c r="F73">
        <f>$G$4+'Data - DA'!D84</f>
        <v>603</v>
      </c>
      <c r="G73">
        <f t="shared" si="16"/>
        <v>605</v>
      </c>
      <c r="H73" t="str">
        <f>'Data - DA'!G84</f>
        <v xml:space="preserve">Aerobar Bolts: Top 45mm; Bottom N/A </v>
      </c>
    </row>
    <row r="74" spans="2:8" x14ac:dyDescent="0.25">
      <c r="B74" t="str">
        <f>TEXT($B$3,0) &amp;" ----- "&amp;'Data - DA'!B85</f>
        <v>Frame: 58 ----- Stem: 90x0  ----- Carbon Aerobar + 10</v>
      </c>
      <c r="C74">
        <f t="shared" si="17"/>
        <v>510</v>
      </c>
      <c r="D74">
        <f t="shared" si="14"/>
        <v>480</v>
      </c>
      <c r="E74">
        <f t="shared" si="15"/>
        <v>560</v>
      </c>
      <c r="F74">
        <f>$G$4+'Data - DA'!D85</f>
        <v>608</v>
      </c>
      <c r="G74">
        <f t="shared" si="16"/>
        <v>610</v>
      </c>
      <c r="H74" t="str">
        <f>'Data - DA'!G85</f>
        <v xml:space="preserve">Aerobar Bolts: Top 50mm; Bottom N/A </v>
      </c>
    </row>
    <row r="75" spans="2:8" x14ac:dyDescent="0.25">
      <c r="B75" t="str">
        <f>TEXT($B$3,0) &amp;" ----- "&amp;'Data - DA'!B86</f>
        <v>Frame: 58 ----- Stem: 90x0  ----- Carbon Aerobar + 5 + 10</v>
      </c>
      <c r="C75">
        <f t="shared" si="17"/>
        <v>510</v>
      </c>
      <c r="D75">
        <f t="shared" si="14"/>
        <v>480</v>
      </c>
      <c r="E75">
        <f t="shared" si="15"/>
        <v>560</v>
      </c>
      <c r="F75">
        <f>$G$4+'Data - DA'!D86</f>
        <v>613</v>
      </c>
      <c r="G75">
        <f t="shared" si="16"/>
        <v>615</v>
      </c>
      <c r="H75" t="str">
        <f>'Data - DA'!G86</f>
        <v xml:space="preserve">Aerobar Bolts: Top 55mm; Bottom N/A </v>
      </c>
    </row>
    <row r="76" spans="2:8" x14ac:dyDescent="0.25">
      <c r="B76" t="str">
        <f>TEXT($B$3,0) &amp;" ----- "&amp;'Data - DA'!B87</f>
        <v>Frame: 58 ----- Stem: 90x0  ----- Carbon Aerobar + 20</v>
      </c>
      <c r="C76">
        <f t="shared" si="17"/>
        <v>510</v>
      </c>
      <c r="D76">
        <f t="shared" si="14"/>
        <v>480</v>
      </c>
      <c r="E76">
        <f t="shared" si="15"/>
        <v>560</v>
      </c>
      <c r="F76">
        <f>$G$4+'Data - DA'!D87</f>
        <v>618</v>
      </c>
      <c r="G76">
        <f t="shared" si="16"/>
        <v>620</v>
      </c>
      <c r="H76" t="str">
        <f>'Data - DA'!G87</f>
        <v xml:space="preserve">Aerobar Bolts: Top 20mm; Bottom 30mm </v>
      </c>
    </row>
    <row r="77" spans="2:8" x14ac:dyDescent="0.25">
      <c r="B77" t="str">
        <f>TEXT($B$3,0) &amp;" ----- "&amp;'Data - DA'!B88</f>
        <v>Frame: 58 ----- Stem: 90x0  ----- Carbon Aerobar + 20 + 5</v>
      </c>
      <c r="C77">
        <f t="shared" si="17"/>
        <v>510</v>
      </c>
      <c r="D77">
        <f t="shared" si="14"/>
        <v>480</v>
      </c>
      <c r="E77">
        <f t="shared" si="15"/>
        <v>560</v>
      </c>
      <c r="F77">
        <f>$G$4+'Data - DA'!D88</f>
        <v>623</v>
      </c>
      <c r="G77">
        <f t="shared" si="16"/>
        <v>625</v>
      </c>
      <c r="H77" t="str">
        <f>'Data - DA'!G88</f>
        <v xml:space="preserve">Aerobar Bolts: Top 25mm; Bottom 30mm </v>
      </c>
    </row>
    <row r="78" spans="2:8" x14ac:dyDescent="0.25">
      <c r="B78" t="str">
        <f>TEXT($B$3,0) &amp;" ----- "&amp;'Data - DA'!B89</f>
        <v>Frame: 58 ----- Stem: 90x0  ----- Carbon Aerobar + 20 + bridge</v>
      </c>
      <c r="C78">
        <f t="shared" si="17"/>
        <v>510</v>
      </c>
      <c r="D78">
        <f t="shared" si="14"/>
        <v>480</v>
      </c>
      <c r="E78">
        <f t="shared" si="15"/>
        <v>560</v>
      </c>
      <c r="F78">
        <f>$G$4+'Data - DA'!D89</f>
        <v>623</v>
      </c>
      <c r="G78">
        <f t="shared" si="16"/>
        <v>625</v>
      </c>
      <c r="H78" t="str">
        <f>'Data - DA'!G89</f>
        <v xml:space="preserve">Aerobar Bolts: Top 25mm; Bottom 30mm </v>
      </c>
    </row>
    <row r="79" spans="2:8" x14ac:dyDescent="0.25">
      <c r="B79" t="str">
        <f>TEXT($B$3,0) &amp;" ----- "&amp;'Data - DA'!B90</f>
        <v>Frame: 58 ----- Stem: 90x0  ----- Carbon Aerobar + 30</v>
      </c>
      <c r="C79">
        <f t="shared" si="17"/>
        <v>510</v>
      </c>
      <c r="D79">
        <f t="shared" si="14"/>
        <v>480</v>
      </c>
      <c r="E79">
        <f t="shared" si="15"/>
        <v>560</v>
      </c>
      <c r="F79">
        <f>$G$4+'Data - DA'!D90</f>
        <v>628</v>
      </c>
      <c r="G79">
        <f t="shared" si="16"/>
        <v>630</v>
      </c>
      <c r="H79" t="str">
        <f>'Data - DA'!G90</f>
        <v xml:space="preserve">Aerobar Bolts: Top 25mm; Bottom 30mm </v>
      </c>
    </row>
    <row r="80" spans="2:8" x14ac:dyDescent="0.25">
      <c r="B80" t="str">
        <f>TEXT($B$3,0) &amp;" ----- "&amp;'Data - DA'!B91</f>
        <v>Frame: 58 ----- Stem: 90x0  ----- Carbon Aerobar + 20 + bridge + 5</v>
      </c>
      <c r="C80">
        <f t="shared" si="17"/>
        <v>510</v>
      </c>
      <c r="D80">
        <f t="shared" si="14"/>
        <v>480</v>
      </c>
      <c r="E80">
        <f t="shared" si="15"/>
        <v>560</v>
      </c>
      <c r="F80">
        <f>$G$4+'Data - DA'!D91</f>
        <v>628</v>
      </c>
      <c r="G80">
        <f t="shared" si="16"/>
        <v>630</v>
      </c>
      <c r="H80" t="str">
        <f>'Data - DA'!G91</f>
        <v xml:space="preserve">Aerobar Bolts: Top 30mm; Bottom 30mm </v>
      </c>
    </row>
    <row r="81" spans="2:8" x14ac:dyDescent="0.25">
      <c r="B81" t="str">
        <f>TEXT($B$3,0) &amp;" ----- "&amp;'Data - DA'!B92</f>
        <v>Frame: 58 ----- Stem: 90x0  ----- Carbon Aerobar + 30 + bridge</v>
      </c>
      <c r="C81">
        <f t="shared" si="17"/>
        <v>510</v>
      </c>
      <c r="D81">
        <f t="shared" si="14"/>
        <v>480</v>
      </c>
      <c r="E81">
        <f t="shared" si="15"/>
        <v>560</v>
      </c>
      <c r="F81">
        <f>$G$4+'Data - DA'!D92</f>
        <v>633</v>
      </c>
      <c r="G81">
        <f t="shared" si="16"/>
        <v>635</v>
      </c>
      <c r="H81" t="str">
        <f>'Data - DA'!G92</f>
        <v xml:space="preserve">Aerobar Bolts: Top 30mm; Bottom 30mm </v>
      </c>
    </row>
    <row r="82" spans="2:8" x14ac:dyDescent="0.25">
      <c r="B82" t="str">
        <f>TEXT($B$3,0) &amp;" ----- "&amp;'Data - DA'!B93</f>
        <v>Frame: 58 ----- Stem: 90x0  ----- Carbon Aerobar + 30 + bridge + 5</v>
      </c>
      <c r="C82">
        <f t="shared" si="17"/>
        <v>510</v>
      </c>
      <c r="D82">
        <f t="shared" si="14"/>
        <v>480</v>
      </c>
      <c r="E82">
        <f t="shared" si="15"/>
        <v>560</v>
      </c>
      <c r="F82">
        <f>$G$4+'Data - DA'!D93</f>
        <v>638</v>
      </c>
      <c r="G82">
        <f t="shared" si="16"/>
        <v>640</v>
      </c>
      <c r="H82" t="str">
        <f>'Data - DA'!G93</f>
        <v xml:space="preserve">Aerobar Bolts: Top 35mm; Bottom 30mm </v>
      </c>
    </row>
    <row r="83" spans="2:8" x14ac:dyDescent="0.25">
      <c r="B83" t="str">
        <f>TEXT($B$3,0) &amp;" ----- "&amp;'Data - DA'!B94</f>
        <v>Frame: 58 ----- Stem: 90x0  ----- Carbon Aerobar + 40 + bridge</v>
      </c>
      <c r="C83">
        <f t="shared" si="17"/>
        <v>510</v>
      </c>
      <c r="D83">
        <f t="shared" si="14"/>
        <v>480</v>
      </c>
      <c r="E83">
        <f t="shared" si="15"/>
        <v>560</v>
      </c>
      <c r="F83">
        <f>$G$4+'Data - DA'!D94</f>
        <v>643</v>
      </c>
      <c r="G83">
        <f t="shared" si="16"/>
        <v>645</v>
      </c>
      <c r="H83" t="str">
        <f>'Data - DA'!G94</f>
        <v xml:space="preserve">Aerobar Bolts: Top 35mm; Bottom 30mm </v>
      </c>
    </row>
    <row r="84" spans="2:8" x14ac:dyDescent="0.25">
      <c r="B84" t="str">
        <f>TEXT($B$3,0) &amp;" ----- "&amp;'Data - DA'!B95</f>
        <v>Frame: 58 ----- Stem: 90x0  ----- Carbon Aerobar + 40 + bridge + 5</v>
      </c>
      <c r="C84">
        <f t="shared" si="17"/>
        <v>510</v>
      </c>
      <c r="D84">
        <f t="shared" si="14"/>
        <v>480</v>
      </c>
      <c r="E84">
        <f t="shared" si="15"/>
        <v>560</v>
      </c>
      <c r="F84">
        <f>$G$4+'Data - DA'!D95</f>
        <v>648</v>
      </c>
      <c r="G84">
        <f t="shared" si="16"/>
        <v>650</v>
      </c>
      <c r="H84" t="str">
        <f>'Data - DA'!G95</f>
        <v xml:space="preserve">Aerobar Bolts: Top 35mm; Bottom 30mm </v>
      </c>
    </row>
    <row r="85" spans="2:8" x14ac:dyDescent="0.25">
      <c r="B85" t="str">
        <f>TEXT($B$3,0) &amp;" ----- "&amp;'Data - DA'!B96</f>
        <v>Frame: 58 ----- Stem: 90x0  ----- Carbon Aerobar + 40 + bridge + 10</v>
      </c>
      <c r="C85">
        <f t="shared" si="17"/>
        <v>510</v>
      </c>
      <c r="D85">
        <f t="shared" si="14"/>
        <v>480</v>
      </c>
      <c r="E85">
        <f t="shared" si="15"/>
        <v>560</v>
      </c>
      <c r="F85">
        <f>$G$4+'Data - DA'!D96</f>
        <v>653</v>
      </c>
      <c r="G85">
        <f t="shared" si="16"/>
        <v>655</v>
      </c>
      <c r="H85" t="str">
        <f>'Data - DA'!G96</f>
        <v xml:space="preserve">Aerobar Bolts: Top 40mm; Bottom 30mm </v>
      </c>
    </row>
    <row r="86" spans="2:8" x14ac:dyDescent="0.25">
      <c r="B86" t="str">
        <f>TEXT($B$3,0) &amp;" ----- "&amp;'Data - DA'!B97</f>
        <v>Frame: 58 ----- Stem: 90x0  ----- Carbon Aerobar + 40 + bridge + 10 + 5</v>
      </c>
      <c r="C86">
        <f t="shared" si="17"/>
        <v>510</v>
      </c>
      <c r="D86">
        <f t="shared" si="14"/>
        <v>480</v>
      </c>
      <c r="E86">
        <f t="shared" si="15"/>
        <v>560</v>
      </c>
      <c r="F86">
        <f>$G$4+'Data - DA'!D97</f>
        <v>658</v>
      </c>
      <c r="G86">
        <f t="shared" si="16"/>
        <v>660</v>
      </c>
      <c r="H86" t="str">
        <f>'Data - DA'!G97</f>
        <v xml:space="preserve">Aerobar Bolts: Top 45mm; Bottom 30mm </v>
      </c>
    </row>
    <row r="87" spans="2:8" x14ac:dyDescent="0.25">
      <c r="B87" t="str">
        <f>TEXT($B$3,0) &amp;" ----- "&amp;'Data - DA'!B98</f>
        <v>Frame: 58 ----- Stem: 110x0  ----- Carbon Aerobar</v>
      </c>
      <c r="C87">
        <f>$P$8</f>
        <v>530</v>
      </c>
      <c r="D87">
        <f t="shared" ref="D87:D101" si="18">$P$9</f>
        <v>500</v>
      </c>
      <c r="E87">
        <f t="shared" ref="E87:E101" si="19">$P$10</f>
        <v>580</v>
      </c>
      <c r="G87">
        <f t="shared" si="16"/>
        <v>0</v>
      </c>
      <c r="H87" t="str">
        <f>'Data - DA'!G98</f>
        <v xml:space="preserve">Aerobar Bolts: Top N/A; Bottom N/A </v>
      </c>
    </row>
    <row r="88" spans="2:8" x14ac:dyDescent="0.25">
      <c r="B88" t="str">
        <f>TEXT($B$3,0) &amp;" ----- "&amp;'Data - DA'!B99</f>
        <v>Frame: 58 ----- Stem: 110x0  ----- Carbon Aerobar + 5</v>
      </c>
      <c r="C88">
        <f t="shared" ref="C88:C101" si="20">$P$8</f>
        <v>530</v>
      </c>
      <c r="D88">
        <f t="shared" si="18"/>
        <v>500</v>
      </c>
      <c r="E88">
        <f t="shared" si="19"/>
        <v>580</v>
      </c>
      <c r="F88">
        <f>$G$4+'Data - DA'!D99</f>
        <v>603</v>
      </c>
      <c r="G88">
        <f t="shared" si="16"/>
        <v>605</v>
      </c>
      <c r="H88" t="str">
        <f>'Data - DA'!G99</f>
        <v xml:space="preserve">Aerobar Bolts: Top 45mm; Bottom N/A </v>
      </c>
    </row>
    <row r="89" spans="2:8" x14ac:dyDescent="0.25">
      <c r="B89" t="str">
        <f>TEXT($B$3,0) &amp;" ----- "&amp;'Data - DA'!B100</f>
        <v>Frame: 58 ----- Stem: 110x0  ----- Carbon Aerobar + 10</v>
      </c>
      <c r="C89">
        <f t="shared" si="20"/>
        <v>530</v>
      </c>
      <c r="D89">
        <f t="shared" si="18"/>
        <v>500</v>
      </c>
      <c r="E89">
        <f t="shared" si="19"/>
        <v>580</v>
      </c>
      <c r="F89">
        <f>$G$4+'Data - DA'!D100</f>
        <v>608</v>
      </c>
      <c r="G89">
        <f t="shared" si="16"/>
        <v>610</v>
      </c>
      <c r="H89" t="str">
        <f>'Data - DA'!G100</f>
        <v xml:space="preserve">Aerobar Bolts: Top 50mm; Bottom N/A </v>
      </c>
    </row>
    <row r="90" spans="2:8" x14ac:dyDescent="0.25">
      <c r="B90" t="str">
        <f>TEXT($B$3,0) &amp;" ----- "&amp;'Data - DA'!B101</f>
        <v>Frame: 58 ----- Stem: 110x0  ----- Carbon Aerobar + 5 + 10</v>
      </c>
      <c r="C90">
        <f t="shared" si="20"/>
        <v>530</v>
      </c>
      <c r="D90">
        <f t="shared" si="18"/>
        <v>500</v>
      </c>
      <c r="E90">
        <f t="shared" si="19"/>
        <v>580</v>
      </c>
      <c r="F90">
        <f>$G$4+'Data - DA'!D101</f>
        <v>613</v>
      </c>
      <c r="G90">
        <f t="shared" si="16"/>
        <v>615</v>
      </c>
      <c r="H90" t="str">
        <f>'Data - DA'!G101</f>
        <v xml:space="preserve">Aerobar Bolts: Top 55mm; Bottom N/A </v>
      </c>
    </row>
    <row r="91" spans="2:8" x14ac:dyDescent="0.25">
      <c r="B91" t="str">
        <f>TEXT($B$3,0) &amp;" ----- "&amp;'Data - DA'!B102</f>
        <v>Frame: 58 ----- Stem: 110x0  ----- Carbon Aerobar + 20</v>
      </c>
      <c r="C91">
        <f t="shared" si="20"/>
        <v>530</v>
      </c>
      <c r="D91">
        <f t="shared" si="18"/>
        <v>500</v>
      </c>
      <c r="E91">
        <f t="shared" si="19"/>
        <v>580</v>
      </c>
      <c r="F91">
        <f>$G$4+'Data - DA'!D102</f>
        <v>619</v>
      </c>
      <c r="G91">
        <f t="shared" si="16"/>
        <v>620</v>
      </c>
      <c r="H91" t="str">
        <f>'Data - DA'!G102</f>
        <v xml:space="preserve">Aerobar Bolts: Top 20mm; Bottom 30mm </v>
      </c>
    </row>
    <row r="92" spans="2:8" x14ac:dyDescent="0.25">
      <c r="B92" t="str">
        <f>TEXT($B$3,0) &amp;" ----- "&amp;'Data - DA'!B103</f>
        <v>Frame: 58 ----- Stem: 110x0  ----- Carbon Aerobar + 20 + 5</v>
      </c>
      <c r="C92">
        <f t="shared" si="20"/>
        <v>530</v>
      </c>
      <c r="D92">
        <f t="shared" si="18"/>
        <v>500</v>
      </c>
      <c r="E92">
        <f t="shared" si="19"/>
        <v>580</v>
      </c>
      <c r="F92">
        <f>$G$4+'Data - DA'!D103</f>
        <v>623</v>
      </c>
      <c r="G92">
        <f t="shared" si="16"/>
        <v>625</v>
      </c>
      <c r="H92" t="str">
        <f>'Data - DA'!G103</f>
        <v xml:space="preserve">Aerobar Bolts: Top 25mm; Bottom 30mm </v>
      </c>
    </row>
    <row r="93" spans="2:8" x14ac:dyDescent="0.25">
      <c r="B93" t="str">
        <f>TEXT($B$3,0) &amp;" ----- "&amp;'Data - DA'!B104</f>
        <v>Frame: 58 ----- Stem: 110x0  ----- Carbon Aerobar + 20 + bridge</v>
      </c>
      <c r="C93">
        <f t="shared" si="20"/>
        <v>530</v>
      </c>
      <c r="D93">
        <f t="shared" si="18"/>
        <v>500</v>
      </c>
      <c r="E93">
        <f t="shared" si="19"/>
        <v>580</v>
      </c>
      <c r="F93">
        <f>$G$4+'Data - DA'!D104</f>
        <v>623</v>
      </c>
      <c r="G93">
        <f t="shared" si="16"/>
        <v>625</v>
      </c>
      <c r="H93" t="str">
        <f>'Data - DA'!G104</f>
        <v xml:space="preserve">Aerobar Bolts: Top 25mm; Bottom 30mm </v>
      </c>
    </row>
    <row r="94" spans="2:8" x14ac:dyDescent="0.25">
      <c r="B94" t="str">
        <f>TEXT($B$3,0) &amp;" ----- "&amp;'Data - DA'!B105</f>
        <v>Frame: 58 ----- Stem: 110x0  ----- Carbon Aerobar + 30</v>
      </c>
      <c r="C94">
        <f t="shared" si="20"/>
        <v>530</v>
      </c>
      <c r="D94">
        <f t="shared" si="18"/>
        <v>500</v>
      </c>
      <c r="E94">
        <f t="shared" si="19"/>
        <v>580</v>
      </c>
      <c r="F94">
        <f>$G$4+'Data - DA'!D105</f>
        <v>628</v>
      </c>
      <c r="G94">
        <f t="shared" si="16"/>
        <v>630</v>
      </c>
      <c r="H94" t="str">
        <f>'Data - DA'!G105</f>
        <v xml:space="preserve">Aerobar Bolts: Top 25mm; Bottom 30mm </v>
      </c>
    </row>
    <row r="95" spans="2:8" x14ac:dyDescent="0.25">
      <c r="B95" t="str">
        <f>TEXT($B$3,0) &amp;" ----- "&amp;'Data - DA'!B106</f>
        <v>Frame: 58 ----- Stem: 110x0  ----- Carbon Aerobar + 20 + bridge + 5</v>
      </c>
      <c r="C95">
        <f t="shared" si="20"/>
        <v>530</v>
      </c>
      <c r="D95">
        <f t="shared" si="18"/>
        <v>500</v>
      </c>
      <c r="E95">
        <f t="shared" si="19"/>
        <v>580</v>
      </c>
      <c r="F95">
        <f>$G$4+'Data - DA'!D106</f>
        <v>628</v>
      </c>
      <c r="G95">
        <f t="shared" si="16"/>
        <v>630</v>
      </c>
      <c r="H95" t="str">
        <f>'Data - DA'!G106</f>
        <v xml:space="preserve">Aerobar Bolts: Top 30mm; Bottom 30mm </v>
      </c>
    </row>
    <row r="96" spans="2:8" x14ac:dyDescent="0.25">
      <c r="B96" t="str">
        <f>TEXT($B$3,0) &amp;" ----- "&amp;'Data - DA'!B107</f>
        <v>Frame: 58 ----- Stem: 110x0  ----- Carbon Aerobar + 30 + bridge</v>
      </c>
      <c r="C96">
        <f t="shared" si="20"/>
        <v>530</v>
      </c>
      <c r="D96">
        <f t="shared" si="18"/>
        <v>500</v>
      </c>
      <c r="E96">
        <f t="shared" si="19"/>
        <v>580</v>
      </c>
      <c r="F96">
        <f>$G$4+'Data - DA'!D107</f>
        <v>633</v>
      </c>
      <c r="G96">
        <f t="shared" si="16"/>
        <v>635</v>
      </c>
      <c r="H96" t="str">
        <f>'Data - DA'!G107</f>
        <v xml:space="preserve">Aerobar Bolts: Top 30mm; Bottom 30mm </v>
      </c>
    </row>
    <row r="97" spans="2:8" x14ac:dyDescent="0.25">
      <c r="B97" t="str">
        <f>TEXT($B$3,0) &amp;" ----- "&amp;'Data - DA'!B108</f>
        <v>Frame: 58 ----- Stem: 110x0  ----- Carbon Aerobar + 30 + bridge + 5</v>
      </c>
      <c r="C97">
        <f t="shared" si="20"/>
        <v>530</v>
      </c>
      <c r="D97">
        <f t="shared" si="18"/>
        <v>500</v>
      </c>
      <c r="E97">
        <f t="shared" si="19"/>
        <v>580</v>
      </c>
      <c r="F97">
        <f>$G$4+'Data - DA'!D108</f>
        <v>638</v>
      </c>
      <c r="G97">
        <f t="shared" si="16"/>
        <v>640</v>
      </c>
      <c r="H97" t="str">
        <f>'Data - DA'!G108</f>
        <v xml:space="preserve">Aerobar Bolts: Top 35mm; Bottom 30mm </v>
      </c>
    </row>
    <row r="98" spans="2:8" x14ac:dyDescent="0.25">
      <c r="B98" t="str">
        <f>TEXT($B$3,0) &amp;" ----- "&amp;'Data - DA'!B109</f>
        <v>Frame: 58 ----- Stem: 110x0  ----- Carbon Aerobar + 40 + bridge</v>
      </c>
      <c r="C98">
        <f t="shared" si="20"/>
        <v>530</v>
      </c>
      <c r="D98">
        <f t="shared" si="18"/>
        <v>500</v>
      </c>
      <c r="E98">
        <f t="shared" si="19"/>
        <v>580</v>
      </c>
      <c r="F98">
        <f>$G$4+'Data - DA'!D109</f>
        <v>643</v>
      </c>
      <c r="G98">
        <f t="shared" si="16"/>
        <v>645</v>
      </c>
      <c r="H98" t="str">
        <f>'Data - DA'!G109</f>
        <v xml:space="preserve">Aerobar Bolts: Top 35mm; Bottom 30mm </v>
      </c>
    </row>
    <row r="99" spans="2:8" x14ac:dyDescent="0.25">
      <c r="B99" t="str">
        <f>TEXT($B$3,0) &amp;" ----- "&amp;'Data - DA'!B110</f>
        <v>Frame: 58 ----- Stem: 110x0  ----- Carbon Aerobar + 40 + bridge + 5</v>
      </c>
      <c r="C99">
        <f t="shared" si="20"/>
        <v>530</v>
      </c>
      <c r="D99">
        <f t="shared" si="18"/>
        <v>500</v>
      </c>
      <c r="E99">
        <f t="shared" si="19"/>
        <v>580</v>
      </c>
      <c r="F99">
        <f>$G$4+'Data - DA'!D110</f>
        <v>648</v>
      </c>
      <c r="G99">
        <f t="shared" si="16"/>
        <v>650</v>
      </c>
      <c r="H99" t="str">
        <f>'Data - DA'!G110</f>
        <v xml:space="preserve">Aerobar Bolts: Top 35mm; Bottom 30mm </v>
      </c>
    </row>
    <row r="100" spans="2:8" x14ac:dyDescent="0.25">
      <c r="B100" t="str">
        <f>TEXT($B$3,0) &amp;" ----- "&amp;'Data - DA'!B111</f>
        <v>Frame: 58 ----- Stem: 110x0  ----- Carbon Aerobar + 40 + bridge + 10</v>
      </c>
      <c r="C100">
        <f t="shared" si="20"/>
        <v>530</v>
      </c>
      <c r="D100">
        <f t="shared" si="18"/>
        <v>500</v>
      </c>
      <c r="E100">
        <f t="shared" si="19"/>
        <v>580</v>
      </c>
      <c r="F100">
        <f>$G$4+'Data - DA'!D111</f>
        <v>653</v>
      </c>
      <c r="G100">
        <f t="shared" si="16"/>
        <v>655</v>
      </c>
      <c r="H100" t="str">
        <f>'Data - DA'!G111</f>
        <v xml:space="preserve">Aerobar Bolts: Top 40mm; Bottom 30mm </v>
      </c>
    </row>
    <row r="101" spans="2:8" x14ac:dyDescent="0.25">
      <c r="B101" t="str">
        <f>TEXT($B$3,0) &amp;" ----- "&amp;'Data - DA'!B112</f>
        <v>Frame: 58 ----- Stem: 110x0  ----- Carbon Aerobar + 40 + bridge + 10 + 5</v>
      </c>
      <c r="C101">
        <f t="shared" si="20"/>
        <v>530</v>
      </c>
      <c r="D101">
        <f t="shared" si="18"/>
        <v>500</v>
      </c>
      <c r="E101">
        <f t="shared" si="19"/>
        <v>580</v>
      </c>
      <c r="F101">
        <f>$G$4+'Data - DA'!D112</f>
        <v>658</v>
      </c>
      <c r="G101">
        <f t="shared" si="16"/>
        <v>660</v>
      </c>
      <c r="H101" t="str">
        <f>'Data - DA'!G112</f>
        <v xml:space="preserve">Aerobar Bolts: Top 45mm; Bottom 30mm </v>
      </c>
    </row>
    <row r="102" spans="2:8" x14ac:dyDescent="0.25">
      <c r="B102" t="str">
        <f>TEXT($B$3,0) &amp;" ----- "&amp;'Data - DA'!B113</f>
        <v>Frame: 58 ----- Stem: 70x30  ----- Aluminium Aerobar</v>
      </c>
      <c r="C102">
        <f>$K$8</f>
        <v>485</v>
      </c>
      <c r="D102">
        <f t="shared" ref="D102:D116" si="21">$K$9</f>
        <v>455</v>
      </c>
      <c r="E102">
        <f t="shared" ref="E102:E116" si="22">$K$10</f>
        <v>535</v>
      </c>
      <c r="F102">
        <f>$G$4+'Data - DA'!D113</f>
        <v>644</v>
      </c>
      <c r="G102">
        <f t="shared" si="13"/>
        <v>645</v>
      </c>
      <c r="H102" t="str">
        <f>'Data - DA'!G113</f>
        <v xml:space="preserve">Aerobar Bolts: Top 20mm; Bottom N/A </v>
      </c>
    </row>
    <row r="103" spans="2:8" x14ac:dyDescent="0.25">
      <c r="B103" t="str">
        <f>TEXT($B$3,0) &amp;" ----- "&amp;'Data - DA'!B114</f>
        <v>Frame: 58 ----- Stem: 70x30  ----- Aluminium Aerobar + 5</v>
      </c>
      <c r="C103">
        <f t="shared" ref="C103:C116" si="23">$K$8</f>
        <v>485</v>
      </c>
      <c r="D103">
        <f t="shared" si="21"/>
        <v>455</v>
      </c>
      <c r="E103">
        <f t="shared" si="22"/>
        <v>535</v>
      </c>
      <c r="F103">
        <f>$G$4+'Data - DA'!D114</f>
        <v>649</v>
      </c>
      <c r="G103">
        <f t="shared" si="13"/>
        <v>650</v>
      </c>
      <c r="H103" t="str">
        <f>'Data - DA'!G114</f>
        <v xml:space="preserve">Aerobar Bolts: Top 25mm; Bottom N/A </v>
      </c>
    </row>
    <row r="104" spans="2:8" x14ac:dyDescent="0.25">
      <c r="B104" t="str">
        <f>TEXT($B$3,0) &amp;" ----- "&amp;'Data - DA'!B115</f>
        <v>Frame: 58 ----- Stem: 70x30  ----- Aluminium Aerobar + 10</v>
      </c>
      <c r="C104">
        <f t="shared" si="23"/>
        <v>485</v>
      </c>
      <c r="D104">
        <f t="shared" si="21"/>
        <v>455</v>
      </c>
      <c r="E104">
        <f t="shared" si="22"/>
        <v>535</v>
      </c>
      <c r="F104">
        <f>$G$4+'Data - DA'!D115</f>
        <v>654</v>
      </c>
      <c r="G104">
        <f t="shared" si="13"/>
        <v>655</v>
      </c>
      <c r="H104" t="str">
        <f>'Data - DA'!G115</f>
        <v xml:space="preserve">Aerobar Bolts: Top 30mm; Bottom N/A </v>
      </c>
    </row>
    <row r="105" spans="2:8" x14ac:dyDescent="0.25">
      <c r="B105" t="str">
        <f>TEXT($B$3,0) &amp;" ----- "&amp;'Data - DA'!B116</f>
        <v>Frame: 58 ----- Stem: 70x30  ----- Aluminium Aerobar + 5 + 10</v>
      </c>
      <c r="C105">
        <f t="shared" si="23"/>
        <v>485</v>
      </c>
      <c r="D105">
        <f t="shared" si="21"/>
        <v>455</v>
      </c>
      <c r="E105">
        <f t="shared" si="22"/>
        <v>535</v>
      </c>
      <c r="F105">
        <f>$G$4+'Data - DA'!D116</f>
        <v>659</v>
      </c>
      <c r="G105">
        <f t="shared" si="13"/>
        <v>660</v>
      </c>
      <c r="H105" t="str">
        <f>'Data - DA'!G116</f>
        <v xml:space="preserve">Aerobar Bolts: Top 35mm; Bottom N/A </v>
      </c>
    </row>
    <row r="106" spans="2:8" x14ac:dyDescent="0.25">
      <c r="B106" t="str">
        <f>TEXT($B$3,0) &amp;" ----- "&amp;'Data - DA'!B117</f>
        <v>Frame: 58 ----- Stem: 70x30  ----- Aluminium Aerobar + 20</v>
      </c>
      <c r="C106">
        <f t="shared" si="23"/>
        <v>485</v>
      </c>
      <c r="D106">
        <f t="shared" si="21"/>
        <v>455</v>
      </c>
      <c r="E106">
        <f t="shared" si="22"/>
        <v>535</v>
      </c>
      <c r="F106">
        <f>$G$4+'Data - DA'!D117</f>
        <v>664</v>
      </c>
      <c r="G106">
        <f t="shared" si="13"/>
        <v>665</v>
      </c>
      <c r="H106" t="str">
        <f>'Data - DA'!G117</f>
        <v xml:space="preserve">Aerobar Bolts: Top 20mm; Bottom 15mm </v>
      </c>
    </row>
    <row r="107" spans="2:8" x14ac:dyDescent="0.25">
      <c r="B107" t="str">
        <f>TEXT($B$3,0) &amp;" ----- "&amp;'Data - DA'!B118</f>
        <v>Frame: 58 ----- Stem: 70x30  ----- Aluminium Aerobar + 20 + 5</v>
      </c>
      <c r="C107">
        <f t="shared" si="23"/>
        <v>485</v>
      </c>
      <c r="D107">
        <f t="shared" si="21"/>
        <v>455</v>
      </c>
      <c r="E107">
        <f t="shared" si="22"/>
        <v>535</v>
      </c>
      <c r="F107">
        <f>$G$4+'Data - DA'!D118</f>
        <v>669</v>
      </c>
      <c r="G107">
        <f t="shared" si="13"/>
        <v>670</v>
      </c>
      <c r="H107" t="str">
        <f>'Data - DA'!G118</f>
        <v xml:space="preserve">Aerobar Bolts: Top 25mm; Bottom 15mm </v>
      </c>
    </row>
    <row r="108" spans="2:8" x14ac:dyDescent="0.25">
      <c r="B108" t="str">
        <f>TEXT($B$3,0) &amp;" ----- "&amp;'Data - DA'!B119</f>
        <v>Frame: 58 ----- Stem: 70x30  ----- Aluminium Aerobar + 20 + bridge</v>
      </c>
      <c r="C108">
        <f t="shared" si="23"/>
        <v>485</v>
      </c>
      <c r="D108">
        <f t="shared" si="21"/>
        <v>455</v>
      </c>
      <c r="E108">
        <f t="shared" si="22"/>
        <v>535</v>
      </c>
      <c r="F108">
        <f>$G$4+'Data - DA'!D119</f>
        <v>669</v>
      </c>
      <c r="G108">
        <f t="shared" si="13"/>
        <v>670</v>
      </c>
      <c r="H108" t="str">
        <f>'Data - DA'!G119</f>
        <v xml:space="preserve">Aerobar Bolts: Top 25mm; Bottom 15mm </v>
      </c>
    </row>
    <row r="109" spans="2:8" x14ac:dyDescent="0.25">
      <c r="B109" t="str">
        <f>TEXT($B$3,0) &amp;" ----- "&amp;'Data - DA'!B120</f>
        <v>Frame: 58 ----- Stem: 70x30  ----- Aluminium Aerobar + 30</v>
      </c>
      <c r="C109">
        <f t="shared" si="23"/>
        <v>485</v>
      </c>
      <c r="D109">
        <f t="shared" si="21"/>
        <v>455</v>
      </c>
      <c r="E109">
        <f t="shared" si="22"/>
        <v>535</v>
      </c>
      <c r="F109">
        <f>$G$4+'Data - DA'!D120</f>
        <v>674</v>
      </c>
      <c r="G109">
        <f t="shared" si="13"/>
        <v>675</v>
      </c>
      <c r="H109" t="str">
        <f>'Data - DA'!G120</f>
        <v xml:space="preserve">Aerobar Bolts: Top 25mm; Bottom 15mm </v>
      </c>
    </row>
    <row r="110" spans="2:8" x14ac:dyDescent="0.25">
      <c r="B110" t="str">
        <f>TEXT($B$3,0) &amp;" ----- "&amp;'Data - DA'!B121</f>
        <v>Frame: 58 ----- Stem: 70x30  ----- Aluminium Aerobar + 20 + bridge + 5</v>
      </c>
      <c r="C110">
        <f t="shared" si="23"/>
        <v>485</v>
      </c>
      <c r="D110">
        <f t="shared" si="21"/>
        <v>455</v>
      </c>
      <c r="E110">
        <f t="shared" si="22"/>
        <v>535</v>
      </c>
      <c r="F110">
        <f>$G$4+'Data - DA'!D121</f>
        <v>674</v>
      </c>
      <c r="G110">
        <f t="shared" si="13"/>
        <v>675</v>
      </c>
      <c r="H110" t="str">
        <f>'Data - DA'!G121</f>
        <v xml:space="preserve">Aerobar Bolts: Top 25mm; Bottom 15mm </v>
      </c>
    </row>
    <row r="111" spans="2:8" x14ac:dyDescent="0.25">
      <c r="B111" t="str">
        <f>TEXT($B$3,0) &amp;" ----- "&amp;'Data - DA'!B122</f>
        <v>Frame: 58 ----- Stem: 70x30  ----- Aluminium Aerobar + 30 + bridge</v>
      </c>
      <c r="C111">
        <f t="shared" si="23"/>
        <v>485</v>
      </c>
      <c r="D111">
        <f t="shared" si="21"/>
        <v>455</v>
      </c>
      <c r="E111">
        <f t="shared" si="22"/>
        <v>535</v>
      </c>
      <c r="F111">
        <f>$G$4+'Data - DA'!D122</f>
        <v>679</v>
      </c>
      <c r="G111">
        <f t="shared" si="13"/>
        <v>680</v>
      </c>
      <c r="H111" t="str">
        <f>'Data - DA'!G122</f>
        <v xml:space="preserve">Aerobar Bolts: Top 30mm; Bottom 15mm </v>
      </c>
    </row>
    <row r="112" spans="2:8" x14ac:dyDescent="0.25">
      <c r="B112" t="str">
        <f>TEXT($B$3,0) &amp;" ----- "&amp;'Data - DA'!B123</f>
        <v>Frame: 58 ----- Stem: 70x30  ----- Aluminium Aerobar + 30 + bridge + 5</v>
      </c>
      <c r="C112">
        <f t="shared" si="23"/>
        <v>485</v>
      </c>
      <c r="D112">
        <f t="shared" si="21"/>
        <v>455</v>
      </c>
      <c r="E112">
        <f t="shared" si="22"/>
        <v>535</v>
      </c>
      <c r="F112">
        <f>$G$4+'Data - DA'!D123</f>
        <v>684</v>
      </c>
      <c r="G112">
        <f t="shared" si="13"/>
        <v>685</v>
      </c>
      <c r="H112" t="str">
        <f>'Data - DA'!G123</f>
        <v xml:space="preserve">Aerobar Bolts: Top 30mm; Bottom 15mm </v>
      </c>
    </row>
    <row r="113" spans="2:8" x14ac:dyDescent="0.25">
      <c r="B113" t="str">
        <f>TEXT($B$3,0) &amp;" ----- "&amp;'Data - DA'!B124</f>
        <v>Frame: 58 ----- Stem: 70x30  ----- Aluminium Aerobar + 40 + bridge</v>
      </c>
      <c r="C113">
        <f t="shared" si="23"/>
        <v>485</v>
      </c>
      <c r="D113">
        <f t="shared" si="21"/>
        <v>455</v>
      </c>
      <c r="E113">
        <f t="shared" si="22"/>
        <v>535</v>
      </c>
      <c r="F113">
        <f>$G$4+'Data - DA'!D124</f>
        <v>689</v>
      </c>
      <c r="G113">
        <f t="shared" si="13"/>
        <v>690</v>
      </c>
      <c r="H113" t="str">
        <f>'Data - DA'!G124</f>
        <v xml:space="preserve">Aerobar Bolts: Top 35mm; Bottom 15mm </v>
      </c>
    </row>
    <row r="114" spans="2:8" x14ac:dyDescent="0.25">
      <c r="B114" t="str">
        <f>TEXT($B$3,0) &amp;" ----- "&amp;'Data - DA'!B125</f>
        <v>Frame: 58 ----- Stem: 70x30  ----- Aluminium Aerobar + 40 + bridge + 5</v>
      </c>
      <c r="C114">
        <f t="shared" si="23"/>
        <v>485</v>
      </c>
      <c r="D114">
        <f t="shared" si="21"/>
        <v>455</v>
      </c>
      <c r="E114">
        <f t="shared" si="22"/>
        <v>535</v>
      </c>
      <c r="F114">
        <f>$G$4+'Data - DA'!D125</f>
        <v>694</v>
      </c>
      <c r="G114">
        <f t="shared" si="13"/>
        <v>695</v>
      </c>
      <c r="H114" t="str">
        <f>'Data - DA'!G125</f>
        <v xml:space="preserve">Aerobar Bolts: Top 35mm; Bottom 15mm </v>
      </c>
    </row>
    <row r="115" spans="2:8" x14ac:dyDescent="0.25">
      <c r="B115" t="str">
        <f>TEXT($B$3,0) &amp;" ----- "&amp;'Data - DA'!B126</f>
        <v>Frame: 58 ----- Stem: 70x30  ----- Aluminium Aerobar + 40 + bridge + 10</v>
      </c>
      <c r="C115">
        <f t="shared" si="23"/>
        <v>485</v>
      </c>
      <c r="D115">
        <f t="shared" si="21"/>
        <v>455</v>
      </c>
      <c r="E115">
        <f t="shared" si="22"/>
        <v>535</v>
      </c>
      <c r="F115">
        <f>$G$4+'Data - DA'!D126</f>
        <v>699</v>
      </c>
      <c r="G115">
        <f t="shared" si="13"/>
        <v>700</v>
      </c>
      <c r="H115" t="str">
        <f>'Data - DA'!G126</f>
        <v xml:space="preserve">Aerobar Bolts: Top 35mm; Bottom 15mm </v>
      </c>
    </row>
    <row r="116" spans="2:8" x14ac:dyDescent="0.25">
      <c r="B116" t="str">
        <f>TEXT($B$3,0) &amp;" ----- "&amp;'Data - DA'!B127</f>
        <v>Frame: 58 ----- Stem: 70x30  ----- Aluminium Aerobar + 40 + bridge + 10 + 5</v>
      </c>
      <c r="C116">
        <f t="shared" si="23"/>
        <v>485</v>
      </c>
      <c r="D116">
        <f t="shared" si="21"/>
        <v>455</v>
      </c>
      <c r="E116">
        <f t="shared" si="22"/>
        <v>535</v>
      </c>
      <c r="F116">
        <f>$G$4+'Data - DA'!D127</f>
        <v>704</v>
      </c>
      <c r="G116">
        <f t="shared" si="13"/>
        <v>705</v>
      </c>
      <c r="H116" t="str">
        <f>'Data - DA'!G127</f>
        <v xml:space="preserve">Aerobar Bolts: Top 35mm; Bottom 25mm </v>
      </c>
    </row>
    <row r="117" spans="2:8" x14ac:dyDescent="0.25">
      <c r="B117" t="str">
        <f>TEXT($B$3,0) &amp;" ----- "&amp;'Data - DA'!B128</f>
        <v>Frame: 58 ----- Stem: 70x60  ----- Aluminium Aerobar</v>
      </c>
      <c r="C117">
        <f>$L$8</f>
        <v>475</v>
      </c>
      <c r="D117">
        <f t="shared" ref="D117:D131" si="24">$L$9</f>
        <v>445</v>
      </c>
      <c r="E117">
        <f t="shared" ref="E117:E131" si="25">$L$10</f>
        <v>525</v>
      </c>
      <c r="F117">
        <f>$G$4+'Data - DA'!D128</f>
        <v>675</v>
      </c>
      <c r="G117">
        <f t="shared" si="13"/>
        <v>675</v>
      </c>
      <c r="H117" t="str">
        <f>'Data - DA'!G128</f>
        <v xml:space="preserve">Aerobar Bolts: Top 20mm; Bottom N/A </v>
      </c>
    </row>
    <row r="118" spans="2:8" x14ac:dyDescent="0.25">
      <c r="B118" t="str">
        <f>TEXT($B$3,0) &amp;" ----- "&amp;'Data - DA'!B129</f>
        <v>Frame: 58 ----- Stem: 70x60  ----- Aluminium Aerobar + 5</v>
      </c>
      <c r="C118">
        <f t="shared" ref="C118:C131" si="26">$L$8</f>
        <v>475</v>
      </c>
      <c r="D118">
        <f t="shared" si="24"/>
        <v>445</v>
      </c>
      <c r="E118">
        <f t="shared" si="25"/>
        <v>525</v>
      </c>
      <c r="F118">
        <f>$G$4+'Data - DA'!D129</f>
        <v>680</v>
      </c>
      <c r="G118">
        <f t="shared" si="13"/>
        <v>680</v>
      </c>
      <c r="H118" t="str">
        <f>'Data - DA'!G129</f>
        <v xml:space="preserve">Aerobar Bolts: Top 25mm; Bottom N/A </v>
      </c>
    </row>
    <row r="119" spans="2:8" x14ac:dyDescent="0.25">
      <c r="B119" t="str">
        <f>TEXT($B$3,0) &amp;" ----- "&amp;'Data - DA'!B130</f>
        <v>Frame: 58 ----- Stem: 70x60  ----- Aluminium Aerobar + 10</v>
      </c>
      <c r="C119">
        <f t="shared" si="26"/>
        <v>475</v>
      </c>
      <c r="D119">
        <f t="shared" si="24"/>
        <v>445</v>
      </c>
      <c r="E119">
        <f t="shared" si="25"/>
        <v>525</v>
      </c>
      <c r="F119">
        <f>$G$4+'Data - DA'!D130</f>
        <v>685</v>
      </c>
      <c r="G119">
        <f t="shared" si="13"/>
        <v>685</v>
      </c>
      <c r="H119" t="str">
        <f>'Data - DA'!G130</f>
        <v xml:space="preserve">Aerobar Bolts: Top 30mm; Bottom N/A </v>
      </c>
    </row>
    <row r="120" spans="2:8" x14ac:dyDescent="0.25">
      <c r="B120" t="str">
        <f>TEXT($B$3,0) &amp;" ----- "&amp;'Data - DA'!B131</f>
        <v>Frame: 58 ----- Stem: 70x60  ----- Aluminium Aerobar + 5 + 10</v>
      </c>
      <c r="C120">
        <f t="shared" si="26"/>
        <v>475</v>
      </c>
      <c r="D120">
        <f t="shared" si="24"/>
        <v>445</v>
      </c>
      <c r="E120">
        <f t="shared" si="25"/>
        <v>525</v>
      </c>
      <c r="F120">
        <f>$G$4+'Data - DA'!D131</f>
        <v>690</v>
      </c>
      <c r="G120">
        <f t="shared" si="13"/>
        <v>690</v>
      </c>
      <c r="H120" t="str">
        <f>'Data - DA'!G131</f>
        <v xml:space="preserve">Aerobar Bolts: Top 35mm; Bottom N/A </v>
      </c>
    </row>
    <row r="121" spans="2:8" x14ac:dyDescent="0.25">
      <c r="B121" t="str">
        <f>TEXT($B$3,0) &amp;" ----- "&amp;'Data - DA'!B132</f>
        <v>Frame: 58 ----- Stem: 70x60  ----- Aluminium Aerobar + 20</v>
      </c>
      <c r="C121">
        <f t="shared" si="26"/>
        <v>475</v>
      </c>
      <c r="D121">
        <f t="shared" si="24"/>
        <v>445</v>
      </c>
      <c r="E121">
        <f t="shared" si="25"/>
        <v>525</v>
      </c>
      <c r="F121">
        <f>$G$4+'Data - DA'!D132</f>
        <v>695</v>
      </c>
      <c r="G121">
        <f t="shared" si="13"/>
        <v>695</v>
      </c>
      <c r="H121" t="str">
        <f>'Data - DA'!G132</f>
        <v xml:space="preserve">Aerobar Bolts: Top 20mm; Bottom 15mm </v>
      </c>
    </row>
    <row r="122" spans="2:8" x14ac:dyDescent="0.25">
      <c r="B122" t="str">
        <f>TEXT($B$3,0) &amp;" ----- "&amp;'Data - DA'!B133</f>
        <v>Frame: 58 ----- Stem: 70x60  ----- Aluminium Aerobar + 20 + 5</v>
      </c>
      <c r="C122">
        <f t="shared" si="26"/>
        <v>475</v>
      </c>
      <c r="D122">
        <f t="shared" si="24"/>
        <v>445</v>
      </c>
      <c r="E122">
        <f t="shared" si="25"/>
        <v>525</v>
      </c>
      <c r="F122">
        <f>$G$4+'Data - DA'!D133</f>
        <v>700</v>
      </c>
      <c r="G122">
        <f t="shared" si="13"/>
        <v>700</v>
      </c>
      <c r="H122" t="str">
        <f>'Data - DA'!G133</f>
        <v xml:space="preserve">Aerobar Bolts: Top 25mm; Bottom 15mm </v>
      </c>
    </row>
    <row r="123" spans="2:8" x14ac:dyDescent="0.25">
      <c r="B123" t="str">
        <f>TEXT($B$3,0) &amp;" ----- "&amp;'Data - DA'!B134</f>
        <v>Frame: 58 ----- Stem: 70x60  ----- Aluminium Aerobar + 20 + bridge</v>
      </c>
      <c r="C123">
        <f t="shared" si="26"/>
        <v>475</v>
      </c>
      <c r="D123">
        <f t="shared" si="24"/>
        <v>445</v>
      </c>
      <c r="E123">
        <f t="shared" si="25"/>
        <v>525</v>
      </c>
      <c r="F123">
        <f>$G$4+'Data - DA'!D134</f>
        <v>700</v>
      </c>
      <c r="G123">
        <f t="shared" si="13"/>
        <v>700</v>
      </c>
      <c r="H123" t="str">
        <f>'Data - DA'!G134</f>
        <v xml:space="preserve">Aerobar Bolts: Top 25mm; Bottom 15mm </v>
      </c>
    </row>
    <row r="124" spans="2:8" x14ac:dyDescent="0.25">
      <c r="B124" t="str">
        <f>TEXT($B$3,0) &amp;" ----- "&amp;'Data - DA'!B135</f>
        <v>Frame: 58 ----- Stem: 70x60  ----- Aluminium Aerobar + 30</v>
      </c>
      <c r="C124">
        <f t="shared" si="26"/>
        <v>475</v>
      </c>
      <c r="D124">
        <f t="shared" si="24"/>
        <v>445</v>
      </c>
      <c r="E124">
        <f t="shared" si="25"/>
        <v>525</v>
      </c>
      <c r="F124">
        <f>$G$4+'Data - DA'!D135</f>
        <v>705</v>
      </c>
      <c r="G124">
        <f t="shared" si="13"/>
        <v>705</v>
      </c>
      <c r="H124" t="str">
        <f>'Data - DA'!G135</f>
        <v xml:space="preserve">Aerobar Bolts: Top 25mm; Bottom 15mm </v>
      </c>
    </row>
    <row r="125" spans="2:8" x14ac:dyDescent="0.25">
      <c r="B125" t="str">
        <f>TEXT($B$3,0) &amp;" ----- "&amp;'Data - DA'!B136</f>
        <v>Frame: 58 ----- Stem: 70x60  ----- Aluminium Aerobar + 20 + bridge + 5</v>
      </c>
      <c r="C125">
        <f t="shared" si="26"/>
        <v>475</v>
      </c>
      <c r="D125">
        <f t="shared" si="24"/>
        <v>445</v>
      </c>
      <c r="E125">
        <f t="shared" si="25"/>
        <v>525</v>
      </c>
      <c r="F125">
        <f>$G$4+'Data - DA'!D136</f>
        <v>705</v>
      </c>
      <c r="G125">
        <f t="shared" si="13"/>
        <v>705</v>
      </c>
      <c r="H125" t="str">
        <f>'Data - DA'!G136</f>
        <v xml:space="preserve">Aerobar Bolts: Top 25mm; Bottom 15mm </v>
      </c>
    </row>
    <row r="126" spans="2:8" x14ac:dyDescent="0.25">
      <c r="B126" t="str">
        <f>TEXT($B$3,0) &amp;" ----- "&amp;'Data - DA'!B137</f>
        <v>Frame: 58 ----- Stem: 70x60  ----- Aluminium Aerobar + 30 + bridge</v>
      </c>
      <c r="C126">
        <f t="shared" si="26"/>
        <v>475</v>
      </c>
      <c r="D126">
        <f t="shared" si="24"/>
        <v>445</v>
      </c>
      <c r="E126">
        <f t="shared" si="25"/>
        <v>525</v>
      </c>
      <c r="F126">
        <f>$G$4+'Data - DA'!D137</f>
        <v>710</v>
      </c>
      <c r="G126">
        <f t="shared" si="13"/>
        <v>710</v>
      </c>
      <c r="H126" t="str">
        <f>'Data - DA'!G137</f>
        <v xml:space="preserve">Aerobar Bolts: Top 30mm; Bottom 15mm </v>
      </c>
    </row>
    <row r="127" spans="2:8" x14ac:dyDescent="0.25">
      <c r="B127" t="str">
        <f>TEXT($B$3,0) &amp;" ----- "&amp;'Data - DA'!B138</f>
        <v>Frame: 58 ----- Stem: 70x60  ----- Aluminium Aerobar + 30 + bridge + 5</v>
      </c>
      <c r="C127">
        <f t="shared" si="26"/>
        <v>475</v>
      </c>
      <c r="D127">
        <f t="shared" si="24"/>
        <v>445</v>
      </c>
      <c r="E127">
        <f t="shared" si="25"/>
        <v>525</v>
      </c>
      <c r="F127">
        <f>$G$4+'Data - DA'!D138</f>
        <v>715</v>
      </c>
      <c r="G127">
        <f t="shared" si="13"/>
        <v>715</v>
      </c>
      <c r="H127" t="str">
        <f>'Data - DA'!G138</f>
        <v xml:space="preserve">Aerobar Bolts: Top 30mm; Bottom 15mm </v>
      </c>
    </row>
    <row r="128" spans="2:8" x14ac:dyDescent="0.25">
      <c r="B128" t="str">
        <f>TEXT($B$3,0) &amp;" ----- "&amp;'Data - DA'!B139</f>
        <v>Frame: 58 ----- Stem: 70x60  ----- Aluminium Aerobar + 40 + bridge</v>
      </c>
      <c r="C128">
        <f t="shared" si="26"/>
        <v>475</v>
      </c>
      <c r="D128">
        <f t="shared" si="24"/>
        <v>445</v>
      </c>
      <c r="E128">
        <f t="shared" si="25"/>
        <v>525</v>
      </c>
      <c r="F128">
        <f>$G$4+'Data - DA'!D139</f>
        <v>720</v>
      </c>
      <c r="G128">
        <f t="shared" si="13"/>
        <v>720</v>
      </c>
      <c r="H128" t="str">
        <f>'Data - DA'!G139</f>
        <v xml:space="preserve">Aerobar Bolts: Top 35mm; Bottom 15mm </v>
      </c>
    </row>
    <row r="129" spans="2:8" x14ac:dyDescent="0.25">
      <c r="B129" t="str">
        <f>TEXT($B$3,0) &amp;" ----- "&amp;'Data - DA'!B140</f>
        <v>Frame: 58 ----- Stem: 70x60  ----- Aluminium Aerobar + 40 + bridge + 5</v>
      </c>
      <c r="C129">
        <f t="shared" si="26"/>
        <v>475</v>
      </c>
      <c r="D129">
        <f t="shared" si="24"/>
        <v>445</v>
      </c>
      <c r="E129">
        <f t="shared" si="25"/>
        <v>525</v>
      </c>
      <c r="F129">
        <f>$G$4+'Data - DA'!D140</f>
        <v>725</v>
      </c>
      <c r="G129">
        <f t="shared" si="13"/>
        <v>725</v>
      </c>
      <c r="H129" t="str">
        <f>'Data - DA'!G140</f>
        <v xml:space="preserve">Aerobar Bolts: Top 35mm; Bottom 15mm </v>
      </c>
    </row>
    <row r="130" spans="2:8" x14ac:dyDescent="0.25">
      <c r="B130" t="str">
        <f>TEXT($B$3,0) &amp;" ----- "&amp;'Data - DA'!B141</f>
        <v>Frame: 58 ----- Stem: 70x60  ----- Aluminium Aerobar + 40 + bridge + 10</v>
      </c>
      <c r="C130">
        <f t="shared" si="26"/>
        <v>475</v>
      </c>
      <c r="D130">
        <f t="shared" si="24"/>
        <v>445</v>
      </c>
      <c r="E130">
        <f t="shared" si="25"/>
        <v>525</v>
      </c>
      <c r="F130">
        <f>$G$4+'Data - DA'!D141</f>
        <v>730</v>
      </c>
      <c r="G130">
        <f t="shared" si="13"/>
        <v>730</v>
      </c>
      <c r="H130" t="str">
        <f>'Data - DA'!G141</f>
        <v xml:space="preserve">Aerobar Bolts: Top 35mm; Bottom 15mm </v>
      </c>
    </row>
    <row r="131" spans="2:8" x14ac:dyDescent="0.25">
      <c r="B131" t="str">
        <f>TEXT($B$3,0) &amp;" ----- "&amp;'Data - DA'!B142</f>
        <v>Frame: 58 ----- Stem: 70x60  ----- Aluminium Aerobar + 40 + bridge + 10 + 5</v>
      </c>
      <c r="C131">
        <f t="shared" si="26"/>
        <v>475</v>
      </c>
      <c r="D131">
        <f t="shared" si="24"/>
        <v>445</v>
      </c>
      <c r="E131">
        <f t="shared" si="25"/>
        <v>525</v>
      </c>
      <c r="F131">
        <f>$G$4+'Data - DA'!D142</f>
        <v>735</v>
      </c>
      <c r="G131">
        <f t="shared" si="13"/>
        <v>735</v>
      </c>
      <c r="H131" t="str">
        <f>'Data - DA'!G142</f>
        <v xml:space="preserve">Aerobar Bolts: Top 35mm; Bottom 25mm </v>
      </c>
    </row>
    <row r="132" spans="2:8" x14ac:dyDescent="0.25">
      <c r="B132" t="str">
        <f>TEXT($B$3,0) &amp;" ----- "&amp;'Data - DA'!B143</f>
        <v>Frame: 58 ----- Stem: 100x30  ----- Aluminium Aerobar</v>
      </c>
      <c r="C132">
        <f>$M$8</f>
        <v>515</v>
      </c>
      <c r="D132">
        <f t="shared" ref="D132:D146" si="27">$M$9</f>
        <v>485</v>
      </c>
      <c r="E132">
        <f t="shared" ref="E132:E146" si="28">$M$10</f>
        <v>565</v>
      </c>
      <c r="F132">
        <f>$G$4+'Data - DA'!D143</f>
        <v>645</v>
      </c>
      <c r="G132">
        <f t="shared" si="13"/>
        <v>645</v>
      </c>
      <c r="H132" t="str">
        <f>'Data - DA'!G143</f>
        <v xml:space="preserve">Aerobar Bolts: Top 20mm; Bottom N/A </v>
      </c>
    </row>
    <row r="133" spans="2:8" x14ac:dyDescent="0.25">
      <c r="B133" t="str">
        <f>TEXT($B$3,0) &amp;" ----- "&amp;'Data - DA'!B144</f>
        <v>Frame: 58 ----- Stem: 100x30  ----- Aluminium Aerobar + 5</v>
      </c>
      <c r="C133">
        <f t="shared" ref="C133:C146" si="29">$M$8</f>
        <v>515</v>
      </c>
      <c r="D133">
        <f t="shared" si="27"/>
        <v>485</v>
      </c>
      <c r="E133">
        <f t="shared" si="28"/>
        <v>565</v>
      </c>
      <c r="F133">
        <f>$G$4+'Data - DA'!D144</f>
        <v>650</v>
      </c>
      <c r="G133">
        <f t="shared" si="13"/>
        <v>650</v>
      </c>
      <c r="H133" t="str">
        <f>'Data - DA'!G144</f>
        <v xml:space="preserve">Aerobar Bolts: Top 25mm; Bottom N/A </v>
      </c>
    </row>
    <row r="134" spans="2:8" x14ac:dyDescent="0.25">
      <c r="B134" t="str">
        <f>TEXT($B$3,0) &amp;" ----- "&amp;'Data - DA'!B145</f>
        <v>Frame: 58 ----- Stem: 100x30  ----- Aluminium Aerobar + 10</v>
      </c>
      <c r="C134">
        <f t="shared" si="29"/>
        <v>515</v>
      </c>
      <c r="D134">
        <f t="shared" si="27"/>
        <v>485</v>
      </c>
      <c r="E134">
        <f t="shared" si="28"/>
        <v>565</v>
      </c>
      <c r="F134">
        <f>$G$4+'Data - DA'!D145</f>
        <v>655</v>
      </c>
      <c r="G134">
        <f t="shared" si="13"/>
        <v>655</v>
      </c>
      <c r="H134" t="str">
        <f>'Data - DA'!G145</f>
        <v xml:space="preserve">Aerobar Bolts: Top 30mm; Bottom N/A </v>
      </c>
    </row>
    <row r="135" spans="2:8" x14ac:dyDescent="0.25">
      <c r="B135" t="str">
        <f>TEXT($B$3,0) &amp;" ----- "&amp;'Data - DA'!B146</f>
        <v>Frame: 58 ----- Stem: 100x30  ----- Aluminium Aerobar + 5 + 10</v>
      </c>
      <c r="C135">
        <f t="shared" si="29"/>
        <v>515</v>
      </c>
      <c r="D135">
        <f t="shared" si="27"/>
        <v>485</v>
      </c>
      <c r="E135">
        <f t="shared" si="28"/>
        <v>565</v>
      </c>
      <c r="F135">
        <f>$G$4+'Data - DA'!D146</f>
        <v>660</v>
      </c>
      <c r="G135">
        <f t="shared" si="13"/>
        <v>660</v>
      </c>
      <c r="H135" t="str">
        <f>'Data - DA'!G146</f>
        <v xml:space="preserve">Aerobar Bolts: Top 35mm; Bottom N/A </v>
      </c>
    </row>
    <row r="136" spans="2:8" x14ac:dyDescent="0.25">
      <c r="B136" t="str">
        <f>TEXT($B$3,0) &amp;" ----- "&amp;'Data - DA'!B147</f>
        <v>Frame: 58 ----- Stem: 100x30  ----- Aluminium Aerobar + 20</v>
      </c>
      <c r="C136">
        <f t="shared" si="29"/>
        <v>515</v>
      </c>
      <c r="D136">
        <f t="shared" si="27"/>
        <v>485</v>
      </c>
      <c r="E136">
        <f t="shared" si="28"/>
        <v>565</v>
      </c>
      <c r="F136">
        <f>$G$4+'Data - DA'!D147</f>
        <v>665</v>
      </c>
      <c r="G136">
        <f t="shared" si="13"/>
        <v>665</v>
      </c>
      <c r="H136" t="str">
        <f>'Data - DA'!G147</f>
        <v xml:space="preserve">Aerobar Bolts: Top 20mm; Bottom 15mm </v>
      </c>
    </row>
    <row r="137" spans="2:8" x14ac:dyDescent="0.25">
      <c r="B137" t="str">
        <f>TEXT($B$3,0) &amp;" ----- "&amp;'Data - DA'!B148</f>
        <v>Frame: 58 ----- Stem: 100x30  ----- Aluminium Aerobar + 20 + 5</v>
      </c>
      <c r="C137">
        <f t="shared" si="29"/>
        <v>515</v>
      </c>
      <c r="D137">
        <f t="shared" si="27"/>
        <v>485</v>
      </c>
      <c r="E137">
        <f t="shared" si="28"/>
        <v>565</v>
      </c>
      <c r="F137">
        <f>$G$4+'Data - DA'!D148</f>
        <v>670</v>
      </c>
      <c r="G137">
        <f t="shared" si="13"/>
        <v>670</v>
      </c>
      <c r="H137" t="str">
        <f>'Data - DA'!G148</f>
        <v xml:space="preserve">Aerobar Bolts: Top 25mm; Bottom 15mm </v>
      </c>
    </row>
    <row r="138" spans="2:8" x14ac:dyDescent="0.25">
      <c r="B138" t="str">
        <f>TEXT($B$3,0) &amp;" ----- "&amp;'Data - DA'!B149</f>
        <v>Frame: 58 ----- Stem: 100x30  ----- Aluminium Aerobar + 20 + bridge</v>
      </c>
      <c r="C138">
        <f t="shared" si="29"/>
        <v>515</v>
      </c>
      <c r="D138">
        <f t="shared" si="27"/>
        <v>485</v>
      </c>
      <c r="E138">
        <f t="shared" si="28"/>
        <v>565</v>
      </c>
      <c r="F138">
        <f>$G$4+'Data - DA'!D149</f>
        <v>670</v>
      </c>
      <c r="G138">
        <f t="shared" si="13"/>
        <v>670</v>
      </c>
      <c r="H138" t="str">
        <f>'Data - DA'!G149</f>
        <v xml:space="preserve">Aerobar Bolts: Top 25mm; Bottom 15mm </v>
      </c>
    </row>
    <row r="139" spans="2:8" x14ac:dyDescent="0.25">
      <c r="B139" t="str">
        <f>TEXT($B$3,0) &amp;" ----- "&amp;'Data - DA'!B150</f>
        <v>Frame: 58 ----- Stem: 100x30  ----- Aluminium Aerobar + 30</v>
      </c>
      <c r="C139">
        <f t="shared" si="29"/>
        <v>515</v>
      </c>
      <c r="D139">
        <f t="shared" si="27"/>
        <v>485</v>
      </c>
      <c r="E139">
        <f t="shared" si="28"/>
        <v>565</v>
      </c>
      <c r="F139">
        <f>$G$4+'Data - DA'!D150</f>
        <v>675</v>
      </c>
      <c r="G139">
        <f t="shared" si="13"/>
        <v>675</v>
      </c>
      <c r="H139" t="str">
        <f>'Data - DA'!G150</f>
        <v xml:space="preserve">Aerobar Bolts: Top 25mm; Bottom 15mm </v>
      </c>
    </row>
    <row r="140" spans="2:8" x14ac:dyDescent="0.25">
      <c r="B140" t="str">
        <f>TEXT($B$3,0) &amp;" ----- "&amp;'Data - DA'!B151</f>
        <v>Frame: 58 ----- Stem: 100x30  ----- Aluminium Aerobar + 20 + bridge + 5</v>
      </c>
      <c r="C140">
        <f t="shared" si="29"/>
        <v>515</v>
      </c>
      <c r="D140">
        <f t="shared" si="27"/>
        <v>485</v>
      </c>
      <c r="E140">
        <f t="shared" si="28"/>
        <v>565</v>
      </c>
      <c r="F140">
        <f>$G$4+'Data - DA'!D151</f>
        <v>675</v>
      </c>
      <c r="G140">
        <f t="shared" si="13"/>
        <v>675</v>
      </c>
      <c r="H140" t="str">
        <f>'Data - DA'!G151</f>
        <v xml:space="preserve">Aerobar Bolts: Top 25mm; Bottom 15mm </v>
      </c>
    </row>
    <row r="141" spans="2:8" x14ac:dyDescent="0.25">
      <c r="B141" t="str">
        <f>TEXT($B$3,0) &amp;" ----- "&amp;'Data - DA'!B152</f>
        <v>Frame: 58 ----- Stem: 100x30  ----- Aluminium Aerobar + 30 + bridge</v>
      </c>
      <c r="C141">
        <f t="shared" si="29"/>
        <v>515</v>
      </c>
      <c r="D141">
        <f t="shared" si="27"/>
        <v>485</v>
      </c>
      <c r="E141">
        <f t="shared" si="28"/>
        <v>565</v>
      </c>
      <c r="F141">
        <f>$G$4+'Data - DA'!D152</f>
        <v>680</v>
      </c>
      <c r="G141">
        <f t="shared" si="13"/>
        <v>680</v>
      </c>
      <c r="H141" t="str">
        <f>'Data - DA'!G152</f>
        <v xml:space="preserve">Aerobar Bolts: Top 30mm; Bottom 15mm </v>
      </c>
    </row>
    <row r="142" spans="2:8" x14ac:dyDescent="0.25">
      <c r="B142" t="str">
        <f>TEXT($B$3,0) &amp;" ----- "&amp;'Data - DA'!B153</f>
        <v>Frame: 58 ----- Stem: 100x30  ----- Aluminium Aerobar + 30 + bridge + 5</v>
      </c>
      <c r="C142">
        <f t="shared" si="29"/>
        <v>515</v>
      </c>
      <c r="D142">
        <f t="shared" si="27"/>
        <v>485</v>
      </c>
      <c r="E142">
        <f t="shared" si="28"/>
        <v>565</v>
      </c>
      <c r="F142">
        <f>$G$4+'Data - DA'!D153</f>
        <v>685</v>
      </c>
      <c r="G142">
        <f t="shared" si="13"/>
        <v>685</v>
      </c>
      <c r="H142" t="str">
        <f>'Data - DA'!G153</f>
        <v xml:space="preserve">Aerobar Bolts: Top 30mm; Bottom 15mm </v>
      </c>
    </row>
    <row r="143" spans="2:8" x14ac:dyDescent="0.25">
      <c r="B143" t="str">
        <f>TEXT($B$3,0) &amp;" ----- "&amp;'Data - DA'!B154</f>
        <v>Frame: 58 ----- Stem: 100x30  ----- Aluminium Aerobar + 40 + bridge</v>
      </c>
      <c r="C143">
        <f t="shared" si="29"/>
        <v>515</v>
      </c>
      <c r="D143">
        <f t="shared" si="27"/>
        <v>485</v>
      </c>
      <c r="E143">
        <f t="shared" si="28"/>
        <v>565</v>
      </c>
      <c r="F143">
        <f>$G$4+'Data - DA'!D154</f>
        <v>690</v>
      </c>
      <c r="G143">
        <f t="shared" si="13"/>
        <v>690</v>
      </c>
      <c r="H143" t="str">
        <f>'Data - DA'!G154</f>
        <v xml:space="preserve">Aerobar Bolts: Top 35mm; Bottom 15mm </v>
      </c>
    </row>
    <row r="144" spans="2:8" x14ac:dyDescent="0.25">
      <c r="B144" t="str">
        <f>TEXT($B$3,0) &amp;" ----- "&amp;'Data - DA'!B155</f>
        <v>Frame: 58 ----- Stem: 100x30  ----- Aluminium Aerobar + 40 + bridge + 5</v>
      </c>
      <c r="C144">
        <f t="shared" si="29"/>
        <v>515</v>
      </c>
      <c r="D144">
        <f t="shared" si="27"/>
        <v>485</v>
      </c>
      <c r="E144">
        <f t="shared" si="28"/>
        <v>565</v>
      </c>
      <c r="F144">
        <f>$G$4+'Data - DA'!D155</f>
        <v>695</v>
      </c>
      <c r="G144">
        <f t="shared" si="13"/>
        <v>695</v>
      </c>
      <c r="H144" t="str">
        <f>'Data - DA'!G155</f>
        <v xml:space="preserve">Aerobar Bolts: Top 35mm; Bottom 15mm </v>
      </c>
    </row>
    <row r="145" spans="2:8" x14ac:dyDescent="0.25">
      <c r="B145" t="str">
        <f>TEXT($B$3,0) &amp;" ----- "&amp;'Data - DA'!B156</f>
        <v>Frame: 58 ----- Stem: 100x30  ----- Aluminium Aerobar + 40 + bridge + 10</v>
      </c>
      <c r="C145">
        <f t="shared" si="29"/>
        <v>515</v>
      </c>
      <c r="D145">
        <f t="shared" si="27"/>
        <v>485</v>
      </c>
      <c r="E145">
        <f t="shared" si="28"/>
        <v>565</v>
      </c>
      <c r="F145">
        <f>$G$4+'Data - DA'!D156</f>
        <v>700</v>
      </c>
      <c r="G145">
        <f t="shared" si="13"/>
        <v>700</v>
      </c>
      <c r="H145" t="str">
        <f>'Data - DA'!G156</f>
        <v xml:space="preserve">Aerobar Bolts: Top 35mm; Bottom 15mm </v>
      </c>
    </row>
    <row r="146" spans="2:8" x14ac:dyDescent="0.25">
      <c r="B146" t="str">
        <f>TEXT($B$3,0) &amp;" ----- "&amp;'Data - DA'!B157</f>
        <v>Frame: 58 ----- Stem: 100x30  ----- Aluminium Aerobar + 40 + bridge + 10 + 5</v>
      </c>
      <c r="C146">
        <f t="shared" si="29"/>
        <v>515</v>
      </c>
      <c r="D146">
        <f t="shared" si="27"/>
        <v>485</v>
      </c>
      <c r="E146">
        <f t="shared" si="28"/>
        <v>565</v>
      </c>
      <c r="F146">
        <f>$G$4+'Data - DA'!D157</f>
        <v>705</v>
      </c>
      <c r="G146">
        <f t="shared" si="13"/>
        <v>705</v>
      </c>
      <c r="H146" t="str">
        <f>'Data - DA'!G157</f>
        <v xml:space="preserve">Aerobar Bolts: Top 35mm; Bottom 25mm </v>
      </c>
    </row>
    <row r="147" spans="2:8" x14ac:dyDescent="0.25">
      <c r="B147" t="str">
        <f>TEXT($B$3,0) &amp;" ----- "&amp;'Data - DA'!B158</f>
        <v>Frame: 58 ----- Stem: 100x60  ----- Aluminium Aerobar</v>
      </c>
      <c r="C147">
        <f>$N$8</f>
        <v>505</v>
      </c>
      <c r="D147">
        <f t="shared" ref="D147:D161" si="30">$N$9</f>
        <v>475</v>
      </c>
      <c r="E147">
        <f t="shared" ref="E147:E161" si="31">$N$10</f>
        <v>555</v>
      </c>
      <c r="F147">
        <f>$G$4+'Data - DA'!D158</f>
        <v>675</v>
      </c>
      <c r="G147">
        <f t="shared" si="13"/>
        <v>675</v>
      </c>
      <c r="H147" t="str">
        <f>'Data - DA'!G158</f>
        <v xml:space="preserve">Aerobar Bolts: Top 20mm; Bottom N/A </v>
      </c>
    </row>
    <row r="148" spans="2:8" x14ac:dyDescent="0.25">
      <c r="B148" t="str">
        <f>TEXT($B$3,0) &amp;" ----- "&amp;'Data - DA'!B159</f>
        <v>Frame: 58 ----- Stem: 100x60  ----- Aluminium Aerobar + 5</v>
      </c>
      <c r="C148">
        <f t="shared" ref="C148:C161" si="32">$N$8</f>
        <v>505</v>
      </c>
      <c r="D148">
        <f t="shared" si="30"/>
        <v>475</v>
      </c>
      <c r="E148">
        <f t="shared" si="31"/>
        <v>555</v>
      </c>
      <c r="F148">
        <f>$G$4+'Data - DA'!D159</f>
        <v>680</v>
      </c>
      <c r="G148">
        <f t="shared" si="13"/>
        <v>680</v>
      </c>
      <c r="H148" t="str">
        <f>'Data - DA'!G159</f>
        <v xml:space="preserve">Aerobar Bolts: Top 25mm; Bottom N/A </v>
      </c>
    </row>
    <row r="149" spans="2:8" x14ac:dyDescent="0.25">
      <c r="B149" t="str">
        <f>TEXT($B$3,0) &amp;" ----- "&amp;'Data - DA'!B160</f>
        <v>Frame: 58 ----- Stem: 100x60  ----- Aluminium Aerobar + 10</v>
      </c>
      <c r="C149">
        <f t="shared" si="32"/>
        <v>505</v>
      </c>
      <c r="D149">
        <f t="shared" si="30"/>
        <v>475</v>
      </c>
      <c r="E149">
        <f t="shared" si="31"/>
        <v>555</v>
      </c>
      <c r="F149">
        <f>$G$4+'Data - DA'!D160</f>
        <v>685</v>
      </c>
      <c r="G149">
        <f t="shared" si="13"/>
        <v>685</v>
      </c>
      <c r="H149" t="str">
        <f>'Data - DA'!G160</f>
        <v xml:space="preserve">Aerobar Bolts: Top 30mm; Bottom N/A </v>
      </c>
    </row>
    <row r="150" spans="2:8" x14ac:dyDescent="0.25">
      <c r="B150" t="str">
        <f>TEXT($B$3,0) &amp;" ----- "&amp;'Data - DA'!B161</f>
        <v>Frame: 58 ----- Stem: 100x60  ----- Aluminium Aerobar + 5 + 10</v>
      </c>
      <c r="C150">
        <f t="shared" si="32"/>
        <v>505</v>
      </c>
      <c r="D150">
        <f t="shared" si="30"/>
        <v>475</v>
      </c>
      <c r="E150">
        <f t="shared" si="31"/>
        <v>555</v>
      </c>
      <c r="F150">
        <f>$G$4+'Data - DA'!D161</f>
        <v>690</v>
      </c>
      <c r="G150">
        <f t="shared" si="13"/>
        <v>690</v>
      </c>
      <c r="H150" t="str">
        <f>'Data - DA'!G161</f>
        <v xml:space="preserve">Aerobar Bolts: Top 35mm; Bottom N/A </v>
      </c>
    </row>
    <row r="151" spans="2:8" x14ac:dyDescent="0.25">
      <c r="B151" t="str">
        <f>TEXT($B$3,0) &amp;" ----- "&amp;'Data - DA'!B162</f>
        <v>Frame: 58 ----- Stem: 100x60  ----- Aluminium Aerobar + 20</v>
      </c>
      <c r="C151">
        <f t="shared" si="32"/>
        <v>505</v>
      </c>
      <c r="D151">
        <f t="shared" si="30"/>
        <v>475</v>
      </c>
      <c r="E151">
        <f t="shared" si="31"/>
        <v>555</v>
      </c>
      <c r="F151">
        <f>$G$4+'Data - DA'!D162</f>
        <v>695</v>
      </c>
      <c r="G151">
        <f t="shared" si="13"/>
        <v>695</v>
      </c>
      <c r="H151" t="str">
        <f>'Data - DA'!G162</f>
        <v xml:space="preserve">Aerobar Bolts: Top 20mm; Bottom 15mm </v>
      </c>
    </row>
    <row r="152" spans="2:8" x14ac:dyDescent="0.25">
      <c r="B152" t="str">
        <f>TEXT($B$3,0) &amp;" ----- "&amp;'Data - DA'!B163</f>
        <v>Frame: 58 ----- Stem: 100x60  ----- Aluminium Aerobar + 20 + 5</v>
      </c>
      <c r="C152">
        <f t="shared" si="32"/>
        <v>505</v>
      </c>
      <c r="D152">
        <f t="shared" si="30"/>
        <v>475</v>
      </c>
      <c r="E152">
        <f t="shared" si="31"/>
        <v>555</v>
      </c>
      <c r="F152">
        <f>$G$4+'Data - DA'!D163</f>
        <v>700</v>
      </c>
      <c r="G152">
        <f t="shared" ref="G152:G161" si="33">ROUND(F152/5,0)*5</f>
        <v>700</v>
      </c>
      <c r="H152" t="str">
        <f>'Data - DA'!G163</f>
        <v xml:space="preserve">Aerobar Bolts: Top 25mm; Bottom 15mm </v>
      </c>
    </row>
    <row r="153" spans="2:8" x14ac:dyDescent="0.25">
      <c r="B153" t="str">
        <f>TEXT($B$3,0) &amp;" ----- "&amp;'Data - DA'!B164</f>
        <v>Frame: 58 ----- Stem: 100x60  ----- Aluminium Aerobar + 20 + bridge</v>
      </c>
      <c r="C153">
        <f t="shared" si="32"/>
        <v>505</v>
      </c>
      <c r="D153">
        <f t="shared" si="30"/>
        <v>475</v>
      </c>
      <c r="E153">
        <f t="shared" si="31"/>
        <v>555</v>
      </c>
      <c r="F153">
        <f>$G$4+'Data - DA'!D164</f>
        <v>700</v>
      </c>
      <c r="G153">
        <f t="shared" si="33"/>
        <v>700</v>
      </c>
      <c r="H153" t="str">
        <f>'Data - DA'!G164</f>
        <v xml:space="preserve">Aerobar Bolts: Top 25mm; Bottom 15mm </v>
      </c>
    </row>
    <row r="154" spans="2:8" x14ac:dyDescent="0.25">
      <c r="B154" t="str">
        <f>TEXT($B$3,0) &amp;" ----- "&amp;'Data - DA'!B165</f>
        <v>Frame: 58 ----- Stem: 100x60  ----- Aluminium Aerobar + 30</v>
      </c>
      <c r="C154">
        <f t="shared" si="32"/>
        <v>505</v>
      </c>
      <c r="D154">
        <f t="shared" si="30"/>
        <v>475</v>
      </c>
      <c r="E154">
        <f t="shared" si="31"/>
        <v>555</v>
      </c>
      <c r="F154">
        <f>$G$4+'Data - DA'!D165</f>
        <v>705</v>
      </c>
      <c r="G154">
        <f t="shared" si="33"/>
        <v>705</v>
      </c>
      <c r="H154" t="str">
        <f>'Data - DA'!G165</f>
        <v xml:space="preserve">Aerobar Bolts: Top 25mm; Bottom 15mm </v>
      </c>
    </row>
    <row r="155" spans="2:8" x14ac:dyDescent="0.25">
      <c r="B155" t="str">
        <f>TEXT($B$3,0) &amp;" ----- "&amp;'Data - DA'!B166</f>
        <v>Frame: 58 ----- Stem: 100x60  ----- Aluminium Aerobar + 20 + bridge + 5</v>
      </c>
      <c r="C155">
        <f t="shared" si="32"/>
        <v>505</v>
      </c>
      <c r="D155">
        <f t="shared" si="30"/>
        <v>475</v>
      </c>
      <c r="E155">
        <f t="shared" si="31"/>
        <v>555</v>
      </c>
      <c r="F155">
        <f>$G$4+'Data - DA'!D166</f>
        <v>705</v>
      </c>
      <c r="G155">
        <f t="shared" si="33"/>
        <v>705</v>
      </c>
      <c r="H155" t="str">
        <f>'Data - DA'!G166</f>
        <v xml:space="preserve">Aerobar Bolts: Top 25mm; Bottom 15mm </v>
      </c>
    </row>
    <row r="156" spans="2:8" x14ac:dyDescent="0.25">
      <c r="B156" t="str">
        <f>TEXT($B$3,0) &amp;" ----- "&amp;'Data - DA'!B167</f>
        <v>Frame: 58 ----- Stem: 100x60  ----- Aluminium Aerobar + 30 + bridge</v>
      </c>
      <c r="C156">
        <f t="shared" si="32"/>
        <v>505</v>
      </c>
      <c r="D156">
        <f t="shared" si="30"/>
        <v>475</v>
      </c>
      <c r="E156">
        <f t="shared" si="31"/>
        <v>555</v>
      </c>
      <c r="F156">
        <f>$G$4+'Data - DA'!D167</f>
        <v>710</v>
      </c>
      <c r="G156">
        <f t="shared" si="33"/>
        <v>710</v>
      </c>
      <c r="H156" t="str">
        <f>'Data - DA'!G167</f>
        <v xml:space="preserve">Aerobar Bolts: Top 30mm; Bottom 15mm </v>
      </c>
    </row>
    <row r="157" spans="2:8" x14ac:dyDescent="0.25">
      <c r="B157" t="str">
        <f>TEXT($B$3,0) &amp;" ----- "&amp;'Data - DA'!B168</f>
        <v>Frame: 58 ----- Stem: 100x60  ----- Aluminium Aerobar + 30 + bridge + 5</v>
      </c>
      <c r="C157">
        <f t="shared" si="32"/>
        <v>505</v>
      </c>
      <c r="D157">
        <f t="shared" si="30"/>
        <v>475</v>
      </c>
      <c r="E157">
        <f t="shared" si="31"/>
        <v>555</v>
      </c>
      <c r="F157">
        <f>$G$4+'Data - DA'!D168</f>
        <v>715</v>
      </c>
      <c r="G157">
        <f t="shared" si="33"/>
        <v>715</v>
      </c>
      <c r="H157" t="str">
        <f>'Data - DA'!G168</f>
        <v xml:space="preserve">Aerobar Bolts: Top 30mm; Bottom 15mm </v>
      </c>
    </row>
    <row r="158" spans="2:8" x14ac:dyDescent="0.25">
      <c r="B158" t="str">
        <f>TEXT($B$3,0) &amp;" ----- "&amp;'Data - DA'!B169</f>
        <v>Frame: 58 ----- Stem: 100x60  ----- Aluminium Aerobar + 40 + bridge</v>
      </c>
      <c r="C158">
        <f t="shared" si="32"/>
        <v>505</v>
      </c>
      <c r="D158">
        <f t="shared" si="30"/>
        <v>475</v>
      </c>
      <c r="E158">
        <f t="shared" si="31"/>
        <v>555</v>
      </c>
      <c r="F158">
        <f>$G$4+'Data - DA'!D169</f>
        <v>720</v>
      </c>
      <c r="G158">
        <f t="shared" si="33"/>
        <v>720</v>
      </c>
      <c r="H158" t="str">
        <f>'Data - DA'!G169</f>
        <v xml:space="preserve">Aerobar Bolts: Top 35mm; Bottom 15mm </v>
      </c>
    </row>
    <row r="159" spans="2:8" x14ac:dyDescent="0.25">
      <c r="B159" t="str">
        <f>TEXT($B$3,0) &amp;" ----- "&amp;'Data - DA'!B170</f>
        <v>Frame: 58 ----- Stem: 100x60  ----- Aluminium Aerobar + 40 + bridge + 5</v>
      </c>
      <c r="C159">
        <f t="shared" si="32"/>
        <v>505</v>
      </c>
      <c r="D159">
        <f t="shared" si="30"/>
        <v>475</v>
      </c>
      <c r="E159">
        <f t="shared" si="31"/>
        <v>555</v>
      </c>
      <c r="F159">
        <f>$G$4+'Data - DA'!D170</f>
        <v>725</v>
      </c>
      <c r="G159">
        <f t="shared" si="33"/>
        <v>725</v>
      </c>
      <c r="H159" t="str">
        <f>'Data - DA'!G170</f>
        <v xml:space="preserve">Aerobar Bolts: Top 35mm; Bottom 15mm </v>
      </c>
    </row>
    <row r="160" spans="2:8" x14ac:dyDescent="0.25">
      <c r="B160" t="str">
        <f>TEXT($B$3,0) &amp;" ----- "&amp;'Data - DA'!B171</f>
        <v>Frame: 58 ----- Stem: 100x60  ----- Aluminium Aerobar + 40 + bridge + 10</v>
      </c>
      <c r="C160">
        <f t="shared" si="32"/>
        <v>505</v>
      </c>
      <c r="D160">
        <f t="shared" si="30"/>
        <v>475</v>
      </c>
      <c r="E160">
        <f t="shared" si="31"/>
        <v>555</v>
      </c>
      <c r="F160">
        <f>$G$4+'Data - DA'!D171</f>
        <v>730</v>
      </c>
      <c r="G160">
        <f t="shared" si="33"/>
        <v>730</v>
      </c>
      <c r="H160" t="str">
        <f>'Data - DA'!G171</f>
        <v xml:space="preserve">Aerobar Bolts: Top 35mm; Bottom 15mm </v>
      </c>
    </row>
    <row r="161" spans="2:8" x14ac:dyDescent="0.25">
      <c r="B161" t="str">
        <f>TEXT($B$3,0) &amp;" ----- "&amp;'Data - DA'!B172</f>
        <v>Frame: 58 ----- Stem: 100x60  ----- Aluminium Aerobar + 40 + bridge + 10 + 5</v>
      </c>
      <c r="C161">
        <f t="shared" si="32"/>
        <v>505</v>
      </c>
      <c r="D161">
        <f t="shared" si="30"/>
        <v>475</v>
      </c>
      <c r="E161">
        <f t="shared" si="31"/>
        <v>555</v>
      </c>
      <c r="F161">
        <f>$G$4+'Data - DA'!D172</f>
        <v>735</v>
      </c>
      <c r="G161">
        <f t="shared" si="33"/>
        <v>735</v>
      </c>
      <c r="H161" t="str">
        <f>'Data - DA'!G172</f>
        <v xml:space="preserve">Aerobar Bolts: Top 35mm; Bottom 25mm </v>
      </c>
    </row>
    <row r="162" spans="2:8" x14ac:dyDescent="0.25">
      <c r="B162" t="str">
        <f>TEXT($B$3,0) &amp;" ----- "&amp;'Data - DA'!B173</f>
        <v>Frame: 58 ----- Stem: 90x0  ----- Aluminium Aerobar</v>
      </c>
      <c r="C162">
        <f>$O$8</f>
        <v>510</v>
      </c>
      <c r="D162">
        <f t="shared" ref="D162:D176" si="34">$O$9</f>
        <v>480</v>
      </c>
      <c r="E162">
        <f t="shared" ref="E162:E176" si="35">$O$10</f>
        <v>560</v>
      </c>
      <c r="F162">
        <f>$G$4+'Data - DA'!D173</f>
        <v>613</v>
      </c>
      <c r="G162">
        <f t="shared" ref="G162:G183" si="36">ROUND(F162/5,0)*5</f>
        <v>615</v>
      </c>
      <c r="H162" t="str">
        <f>'Data - DA'!G173</f>
        <v xml:space="preserve">Aerobar Bolts: Top 20mm; Bottom N/A </v>
      </c>
    </row>
    <row r="163" spans="2:8" x14ac:dyDescent="0.25">
      <c r="B163" t="str">
        <f>TEXT($B$3,0) &amp;" ----- "&amp;'Data - DA'!B174</f>
        <v>Frame: 58 ----- Stem: 90x0  ----- Aluminium Aerobar + 5</v>
      </c>
      <c r="C163">
        <f t="shared" ref="C163:C176" si="37">$O$8</f>
        <v>510</v>
      </c>
      <c r="D163">
        <f t="shared" si="34"/>
        <v>480</v>
      </c>
      <c r="E163">
        <f t="shared" si="35"/>
        <v>560</v>
      </c>
      <c r="F163">
        <f>$G$4+'Data - DA'!D174</f>
        <v>618</v>
      </c>
      <c r="G163">
        <f t="shared" si="36"/>
        <v>620</v>
      </c>
      <c r="H163" t="str">
        <f>'Data - DA'!G174</f>
        <v xml:space="preserve">Aerobar Bolts: Top 25mm; Bottom N/A </v>
      </c>
    </row>
    <row r="164" spans="2:8" x14ac:dyDescent="0.25">
      <c r="B164" t="str">
        <f>TEXT($B$3,0) &amp;" ----- "&amp;'Data - DA'!B175</f>
        <v>Frame: 58 ----- Stem: 90x0  ----- Aluminium Aerobar + 10</v>
      </c>
      <c r="C164">
        <f t="shared" si="37"/>
        <v>510</v>
      </c>
      <c r="D164">
        <f t="shared" si="34"/>
        <v>480</v>
      </c>
      <c r="E164">
        <f t="shared" si="35"/>
        <v>560</v>
      </c>
      <c r="F164">
        <f>$G$4+'Data - DA'!D175</f>
        <v>623</v>
      </c>
      <c r="G164">
        <f t="shared" si="36"/>
        <v>625</v>
      </c>
      <c r="H164" t="str">
        <f>'Data - DA'!G175</f>
        <v xml:space="preserve">Aerobar Bolts: Top 30mm; Bottom N/A </v>
      </c>
    </row>
    <row r="165" spans="2:8" x14ac:dyDescent="0.25">
      <c r="B165" t="str">
        <f>TEXT($B$3,0) &amp;" ----- "&amp;'Data - DA'!B176</f>
        <v>Frame: 58 ----- Stem: 90x0  ----- Aluminium Aerobar + 5 + 10</v>
      </c>
      <c r="C165">
        <f t="shared" si="37"/>
        <v>510</v>
      </c>
      <c r="D165">
        <f t="shared" si="34"/>
        <v>480</v>
      </c>
      <c r="E165">
        <f t="shared" si="35"/>
        <v>560</v>
      </c>
      <c r="F165">
        <f>$G$4+'Data - DA'!D176</f>
        <v>628</v>
      </c>
      <c r="G165">
        <f t="shared" si="36"/>
        <v>630</v>
      </c>
      <c r="H165" t="str">
        <f>'Data - DA'!G176</f>
        <v xml:space="preserve">Aerobar Bolts: Top 35mm; Bottom N/A </v>
      </c>
    </row>
    <row r="166" spans="2:8" x14ac:dyDescent="0.25">
      <c r="B166" t="str">
        <f>TEXT($B$3,0) &amp;" ----- "&amp;'Data - DA'!B177</f>
        <v>Frame: 58 ----- Stem: 90x0  ----- Aluminium Aerobar + 20</v>
      </c>
      <c r="C166">
        <f t="shared" si="37"/>
        <v>510</v>
      </c>
      <c r="D166">
        <f t="shared" si="34"/>
        <v>480</v>
      </c>
      <c r="E166">
        <f t="shared" si="35"/>
        <v>560</v>
      </c>
      <c r="F166">
        <f>$G$4+'Data - DA'!D177</f>
        <v>633</v>
      </c>
      <c r="G166">
        <f t="shared" si="36"/>
        <v>635</v>
      </c>
      <c r="H166" t="str">
        <f>'Data - DA'!G177</f>
        <v xml:space="preserve">Aerobar Bolts: Top 20mm; Bottom 15mm </v>
      </c>
    </row>
    <row r="167" spans="2:8" x14ac:dyDescent="0.25">
      <c r="B167" t="str">
        <f>TEXT($B$3,0) &amp;" ----- "&amp;'Data - DA'!B178</f>
        <v>Frame: 58 ----- Stem: 90x0  ----- Aluminium Aerobar + 20 + 5</v>
      </c>
      <c r="C167">
        <f t="shared" si="37"/>
        <v>510</v>
      </c>
      <c r="D167">
        <f t="shared" si="34"/>
        <v>480</v>
      </c>
      <c r="E167">
        <f t="shared" si="35"/>
        <v>560</v>
      </c>
      <c r="F167">
        <f>$G$4+'Data - DA'!D178</f>
        <v>638</v>
      </c>
      <c r="G167">
        <f t="shared" si="36"/>
        <v>640</v>
      </c>
      <c r="H167" t="str">
        <f>'Data - DA'!G178</f>
        <v xml:space="preserve">Aerobar Bolts: Top 25mm; Bottom 15mm </v>
      </c>
    </row>
    <row r="168" spans="2:8" x14ac:dyDescent="0.25">
      <c r="B168" t="str">
        <f>TEXT($B$3,0) &amp;" ----- "&amp;'Data - DA'!B179</f>
        <v>Frame: 58 ----- Stem: 90x0  ----- Aluminium Aerobar + 20 + bridge</v>
      </c>
      <c r="C168">
        <f t="shared" si="37"/>
        <v>510</v>
      </c>
      <c r="D168">
        <f t="shared" si="34"/>
        <v>480</v>
      </c>
      <c r="E168">
        <f t="shared" si="35"/>
        <v>560</v>
      </c>
      <c r="F168">
        <f>$G$4+'Data - DA'!D179</f>
        <v>638</v>
      </c>
      <c r="G168">
        <f t="shared" si="36"/>
        <v>640</v>
      </c>
      <c r="H168" t="str">
        <f>'Data - DA'!G179</f>
        <v xml:space="preserve">Aerobar Bolts: Top 25mm; Bottom 15mm </v>
      </c>
    </row>
    <row r="169" spans="2:8" x14ac:dyDescent="0.25">
      <c r="B169" t="str">
        <f>TEXT($B$3,0) &amp;" ----- "&amp;'Data - DA'!B180</f>
        <v>Frame: 58 ----- Stem: 90x0  ----- Aluminium Aerobar + 30</v>
      </c>
      <c r="C169">
        <f t="shared" si="37"/>
        <v>510</v>
      </c>
      <c r="D169">
        <f t="shared" si="34"/>
        <v>480</v>
      </c>
      <c r="E169">
        <f t="shared" si="35"/>
        <v>560</v>
      </c>
      <c r="F169">
        <f>$G$4+'Data - DA'!D180</f>
        <v>643</v>
      </c>
      <c r="G169">
        <f t="shared" si="36"/>
        <v>645</v>
      </c>
      <c r="H169" t="str">
        <f>'Data - DA'!G180</f>
        <v xml:space="preserve">Aerobar Bolts: Top 25mm; Bottom 15mm </v>
      </c>
    </row>
    <row r="170" spans="2:8" x14ac:dyDescent="0.25">
      <c r="B170" t="str">
        <f>TEXT($B$3,0) &amp;" ----- "&amp;'Data - DA'!B181</f>
        <v>Frame: 58 ----- Stem: 90x0  ----- Aluminium Aerobar + 20 + bridge + 5</v>
      </c>
      <c r="C170">
        <f t="shared" si="37"/>
        <v>510</v>
      </c>
      <c r="D170">
        <f t="shared" si="34"/>
        <v>480</v>
      </c>
      <c r="E170">
        <f t="shared" si="35"/>
        <v>560</v>
      </c>
      <c r="F170">
        <f>$G$4+'Data - DA'!D181</f>
        <v>643</v>
      </c>
      <c r="G170">
        <f t="shared" si="36"/>
        <v>645</v>
      </c>
      <c r="H170" t="str">
        <f>'Data - DA'!G181</f>
        <v xml:space="preserve">Aerobar Bolts: Top 25mm; Bottom 15mm </v>
      </c>
    </row>
    <row r="171" spans="2:8" x14ac:dyDescent="0.25">
      <c r="B171" t="str">
        <f>TEXT($B$3,0) &amp;" ----- "&amp;'Data - DA'!B182</f>
        <v>Frame: 58 ----- Stem: 90x0  ----- Aluminium Aerobar + 30 + bridge</v>
      </c>
      <c r="C171">
        <f t="shared" si="37"/>
        <v>510</v>
      </c>
      <c r="D171">
        <f t="shared" si="34"/>
        <v>480</v>
      </c>
      <c r="E171">
        <f t="shared" si="35"/>
        <v>560</v>
      </c>
      <c r="F171">
        <f>$G$4+'Data - DA'!D182</f>
        <v>648</v>
      </c>
      <c r="G171">
        <f t="shared" si="36"/>
        <v>650</v>
      </c>
      <c r="H171" t="str">
        <f>'Data - DA'!G182</f>
        <v xml:space="preserve">Aerobar Bolts: Top 30mm; Bottom 15mm </v>
      </c>
    </row>
    <row r="172" spans="2:8" x14ac:dyDescent="0.25">
      <c r="B172" t="str">
        <f>TEXT($B$3,0) &amp;" ----- "&amp;'Data - DA'!B183</f>
        <v>Frame: 58 ----- Stem: 90x0  ----- Aluminium Aerobar + 30 + bridge + 5</v>
      </c>
      <c r="C172">
        <f t="shared" si="37"/>
        <v>510</v>
      </c>
      <c r="D172">
        <f t="shared" si="34"/>
        <v>480</v>
      </c>
      <c r="E172">
        <f t="shared" si="35"/>
        <v>560</v>
      </c>
      <c r="F172">
        <f>$G$4+'Data - DA'!D183</f>
        <v>653</v>
      </c>
      <c r="G172">
        <f t="shared" si="36"/>
        <v>655</v>
      </c>
      <c r="H172" t="str">
        <f>'Data - DA'!G183</f>
        <v xml:space="preserve">Aerobar Bolts: Top 30mm; Bottom 15mm </v>
      </c>
    </row>
    <row r="173" spans="2:8" x14ac:dyDescent="0.25">
      <c r="B173" t="str">
        <f>TEXT($B$3,0) &amp;" ----- "&amp;'Data - DA'!B184</f>
        <v>Frame: 58 ----- Stem: 90x0  ----- Aluminium Aerobar + 40 + bridge</v>
      </c>
      <c r="C173">
        <f t="shared" si="37"/>
        <v>510</v>
      </c>
      <c r="D173">
        <f t="shared" si="34"/>
        <v>480</v>
      </c>
      <c r="E173">
        <f t="shared" si="35"/>
        <v>560</v>
      </c>
      <c r="F173">
        <f>$G$4+'Data - DA'!D184</f>
        <v>658</v>
      </c>
      <c r="G173">
        <f t="shared" si="36"/>
        <v>660</v>
      </c>
      <c r="H173" t="str">
        <f>'Data - DA'!G184</f>
        <v xml:space="preserve">Aerobar Bolts: Top 35mm; Bottom 15mm </v>
      </c>
    </row>
    <row r="174" spans="2:8" x14ac:dyDescent="0.25">
      <c r="B174" t="str">
        <f>TEXT($B$3,0) &amp;" ----- "&amp;'Data - DA'!B185</f>
        <v>Frame: 58 ----- Stem: 90x0  ----- Aluminium Aerobar + 40 + bridge + 5</v>
      </c>
      <c r="C174">
        <f t="shared" si="37"/>
        <v>510</v>
      </c>
      <c r="D174">
        <f t="shared" si="34"/>
        <v>480</v>
      </c>
      <c r="E174">
        <f t="shared" si="35"/>
        <v>560</v>
      </c>
      <c r="F174">
        <f>$G$4+'Data - DA'!D185</f>
        <v>663</v>
      </c>
      <c r="G174">
        <f t="shared" si="36"/>
        <v>665</v>
      </c>
      <c r="H174" t="str">
        <f>'Data - DA'!G185</f>
        <v xml:space="preserve">Aerobar Bolts: Top 35mm; Bottom 15mm </v>
      </c>
    </row>
    <row r="175" spans="2:8" x14ac:dyDescent="0.25">
      <c r="B175" t="str">
        <f>TEXT($B$3,0) &amp;" ----- "&amp;'Data - DA'!B186</f>
        <v>Frame: 58 ----- Stem: 90x0  ----- Aluminium Aerobar + 40 + bridge + 10</v>
      </c>
      <c r="C175">
        <f t="shared" si="37"/>
        <v>510</v>
      </c>
      <c r="D175">
        <f t="shared" si="34"/>
        <v>480</v>
      </c>
      <c r="E175">
        <f t="shared" si="35"/>
        <v>560</v>
      </c>
      <c r="F175">
        <f>$G$4+'Data - DA'!D186</f>
        <v>668</v>
      </c>
      <c r="G175">
        <f t="shared" si="36"/>
        <v>670</v>
      </c>
      <c r="H175" t="str">
        <f>'Data - DA'!G186</f>
        <v xml:space="preserve">Aerobar Bolts: Top 35mm; Bottom 15mm </v>
      </c>
    </row>
    <row r="176" spans="2:8" x14ac:dyDescent="0.25">
      <c r="B176" t="str">
        <f>TEXT($B$3,0) &amp;" ----- "&amp;'Data - DA'!B187</f>
        <v>Frame: 58 ----- Stem: 90x0  ----- Aluminium Aerobar + 40 + bridge + 10 + 5</v>
      </c>
      <c r="C176">
        <f t="shared" si="37"/>
        <v>510</v>
      </c>
      <c r="D176">
        <f t="shared" si="34"/>
        <v>480</v>
      </c>
      <c r="E176">
        <f t="shared" si="35"/>
        <v>560</v>
      </c>
      <c r="F176">
        <f>$G$4+'Data - DA'!D187</f>
        <v>673</v>
      </c>
      <c r="G176">
        <f t="shared" si="36"/>
        <v>675</v>
      </c>
      <c r="H176" t="str">
        <f>'Data - DA'!G187</f>
        <v xml:space="preserve">Aerobar Bolts: Top 35mm; Bottom 25mm </v>
      </c>
    </row>
    <row r="177" spans="2:8" x14ac:dyDescent="0.25">
      <c r="B177" t="str">
        <f>TEXT($B$3,0) &amp;" ----- "&amp;'Data - DA'!B188</f>
        <v>Frame: 58 ----- Stem: 110x0  ----- Aluminium Aerobar</v>
      </c>
      <c r="C177">
        <f>$P$8</f>
        <v>530</v>
      </c>
      <c r="D177">
        <f t="shared" ref="D177:D191" si="38">$P$9</f>
        <v>500</v>
      </c>
      <c r="E177">
        <f t="shared" ref="E177:E191" si="39">$P$10</f>
        <v>580</v>
      </c>
      <c r="F177">
        <f>$G$4+'Data - DA'!D188</f>
        <v>613</v>
      </c>
      <c r="G177">
        <f t="shared" si="36"/>
        <v>615</v>
      </c>
      <c r="H177" t="str">
        <f>'Data - DA'!G188</f>
        <v xml:space="preserve">Aerobar Bolts: Top 20mm; Bottom N/A </v>
      </c>
    </row>
    <row r="178" spans="2:8" x14ac:dyDescent="0.25">
      <c r="B178" t="str">
        <f>TEXT($B$3,0) &amp;" ----- "&amp;'Data - DA'!B189</f>
        <v>Frame: 58 ----- Stem: 110x0  ----- Aluminium Aerobar + 5</v>
      </c>
      <c r="C178">
        <f t="shared" ref="C178:C191" si="40">$P$8</f>
        <v>530</v>
      </c>
      <c r="D178">
        <f t="shared" si="38"/>
        <v>500</v>
      </c>
      <c r="E178">
        <f t="shared" si="39"/>
        <v>580</v>
      </c>
      <c r="F178">
        <f>$G$4+'Data - DA'!D189</f>
        <v>618</v>
      </c>
      <c r="G178">
        <f t="shared" si="36"/>
        <v>620</v>
      </c>
      <c r="H178" t="str">
        <f>'Data - DA'!G189</f>
        <v xml:space="preserve">Aerobar Bolts: Top 25mm; Bottom N/A </v>
      </c>
    </row>
    <row r="179" spans="2:8" x14ac:dyDescent="0.25">
      <c r="B179" t="str">
        <f>TEXT($B$3,0) &amp;" ----- "&amp;'Data - DA'!B190</f>
        <v>Frame: 58 ----- Stem: 110x0  ----- Aluminium Aerobar + 10</v>
      </c>
      <c r="C179">
        <f t="shared" si="40"/>
        <v>530</v>
      </c>
      <c r="D179">
        <f t="shared" si="38"/>
        <v>500</v>
      </c>
      <c r="E179">
        <f t="shared" si="39"/>
        <v>580</v>
      </c>
      <c r="F179">
        <f>$G$4+'Data - DA'!D190</f>
        <v>623</v>
      </c>
      <c r="G179">
        <f t="shared" si="36"/>
        <v>625</v>
      </c>
      <c r="H179" t="str">
        <f>'Data - DA'!G190</f>
        <v xml:space="preserve">Aerobar Bolts: Top 30mm; Bottom N/A </v>
      </c>
    </row>
    <row r="180" spans="2:8" x14ac:dyDescent="0.25">
      <c r="B180" t="str">
        <f>TEXT($B$3,0) &amp;" ----- "&amp;'Data - DA'!B191</f>
        <v>Frame: 58 ----- Stem: 110x0  ----- Aluminium Aerobar + 5 + 10</v>
      </c>
      <c r="C180">
        <f t="shared" si="40"/>
        <v>530</v>
      </c>
      <c r="D180">
        <f t="shared" si="38"/>
        <v>500</v>
      </c>
      <c r="E180">
        <f t="shared" si="39"/>
        <v>580</v>
      </c>
      <c r="F180">
        <f>$G$4+'Data - DA'!D191</f>
        <v>629</v>
      </c>
      <c r="G180">
        <f t="shared" si="36"/>
        <v>630</v>
      </c>
      <c r="H180" t="str">
        <f>'Data - DA'!G191</f>
        <v xml:space="preserve">Aerobar Bolts: Top 35mm; Bottom N/A </v>
      </c>
    </row>
    <row r="181" spans="2:8" x14ac:dyDescent="0.25">
      <c r="B181" t="str">
        <f>TEXT($B$3,0) &amp;" ----- "&amp;'Data - DA'!B192</f>
        <v>Frame: 58 ----- Stem: 110x0  ----- Aluminium Aerobar + 20</v>
      </c>
      <c r="C181">
        <f t="shared" si="40"/>
        <v>530</v>
      </c>
      <c r="D181">
        <f t="shared" si="38"/>
        <v>500</v>
      </c>
      <c r="E181">
        <f t="shared" si="39"/>
        <v>580</v>
      </c>
      <c r="F181">
        <f>$G$4+'Data - DA'!D192</f>
        <v>633</v>
      </c>
      <c r="G181">
        <f t="shared" si="36"/>
        <v>635</v>
      </c>
      <c r="H181" t="str">
        <f>'Data - DA'!G192</f>
        <v xml:space="preserve">Aerobar Bolts: Top 20mm; Bottom 15mm </v>
      </c>
    </row>
    <row r="182" spans="2:8" x14ac:dyDescent="0.25">
      <c r="B182" t="str">
        <f>TEXT($B$3,0) &amp;" ----- "&amp;'Data - DA'!B193</f>
        <v>Frame: 58 ----- Stem: 110x0  ----- Aluminium Aerobar + 20 + 5</v>
      </c>
      <c r="C182">
        <f t="shared" si="40"/>
        <v>530</v>
      </c>
      <c r="D182">
        <f t="shared" si="38"/>
        <v>500</v>
      </c>
      <c r="E182">
        <f t="shared" si="39"/>
        <v>580</v>
      </c>
      <c r="F182">
        <f>$G$4+'Data - DA'!D193</f>
        <v>638</v>
      </c>
      <c r="G182">
        <f t="shared" si="36"/>
        <v>640</v>
      </c>
      <c r="H182" t="str">
        <f>'Data - DA'!G193</f>
        <v xml:space="preserve">Aerobar Bolts: Top 25mm; Bottom 15mm </v>
      </c>
    </row>
    <row r="183" spans="2:8" x14ac:dyDescent="0.25">
      <c r="B183" t="str">
        <f>TEXT($B$3,0) &amp;" ----- "&amp;'Data - DA'!B194</f>
        <v>Frame: 58 ----- Stem: 110x0  ----- Aluminium Aerobar + 20 + bridge</v>
      </c>
      <c r="C183">
        <f t="shared" si="40"/>
        <v>530</v>
      </c>
      <c r="D183">
        <f t="shared" si="38"/>
        <v>500</v>
      </c>
      <c r="E183">
        <f t="shared" si="39"/>
        <v>580</v>
      </c>
      <c r="F183">
        <f>$G$4+'Data - DA'!D194</f>
        <v>638</v>
      </c>
      <c r="G183">
        <f t="shared" si="36"/>
        <v>640</v>
      </c>
      <c r="H183" t="str">
        <f>'Data - DA'!G194</f>
        <v xml:space="preserve">Aerobar Bolts: Top 25mm; Bottom 15mm </v>
      </c>
    </row>
    <row r="184" spans="2:8" x14ac:dyDescent="0.25">
      <c r="B184" t="str">
        <f>TEXT($B$3,0) &amp;" ----- "&amp;'Data - DA'!B195</f>
        <v>Frame: 58 ----- Stem: 110x0  ----- Aluminium Aerobar + 30</v>
      </c>
      <c r="C184">
        <f t="shared" si="40"/>
        <v>530</v>
      </c>
      <c r="D184">
        <f t="shared" si="38"/>
        <v>500</v>
      </c>
      <c r="E184">
        <f t="shared" si="39"/>
        <v>580</v>
      </c>
      <c r="F184">
        <f>$G$4+'Data - DA'!D195</f>
        <v>643</v>
      </c>
      <c r="G184">
        <f t="shared" ref="G184:G191" si="41">ROUND(F184/5,0)*5</f>
        <v>645</v>
      </c>
      <c r="H184" t="str">
        <f>'Data - DA'!G195</f>
        <v xml:space="preserve">Aerobar Bolts: Top 25mm; Bottom 15mm </v>
      </c>
    </row>
    <row r="185" spans="2:8" x14ac:dyDescent="0.25">
      <c r="B185" t="str">
        <f>TEXT($B$3,0) &amp;" ----- "&amp;'Data - DA'!B196</f>
        <v>Frame: 58 ----- Stem: 110x0  ----- Aluminium Aerobar + 20 + bridge + 5</v>
      </c>
      <c r="C185">
        <f t="shared" si="40"/>
        <v>530</v>
      </c>
      <c r="D185">
        <f t="shared" si="38"/>
        <v>500</v>
      </c>
      <c r="E185">
        <f t="shared" si="39"/>
        <v>580</v>
      </c>
      <c r="F185">
        <f>$G$4+'Data - DA'!D196</f>
        <v>643</v>
      </c>
      <c r="G185">
        <f t="shared" si="41"/>
        <v>645</v>
      </c>
      <c r="H185" t="str">
        <f>'Data - DA'!G196</f>
        <v xml:space="preserve">Aerobar Bolts: Top 25mm; Bottom 15mm </v>
      </c>
    </row>
    <row r="186" spans="2:8" x14ac:dyDescent="0.25">
      <c r="B186" t="str">
        <f>TEXT($B$3,0) &amp;" ----- "&amp;'Data - DA'!B197</f>
        <v>Frame: 58 ----- Stem: 110x0  ----- Aluminium Aerobar + 30 + bridge</v>
      </c>
      <c r="C186">
        <f t="shared" si="40"/>
        <v>530</v>
      </c>
      <c r="D186">
        <f t="shared" si="38"/>
        <v>500</v>
      </c>
      <c r="E186">
        <f t="shared" si="39"/>
        <v>580</v>
      </c>
      <c r="F186">
        <f>$G$4+'Data - DA'!D197</f>
        <v>648</v>
      </c>
      <c r="G186">
        <f t="shared" si="41"/>
        <v>650</v>
      </c>
      <c r="H186" t="str">
        <f>'Data - DA'!G197</f>
        <v xml:space="preserve">Aerobar Bolts: Top 30mm; Bottom 15mm </v>
      </c>
    </row>
    <row r="187" spans="2:8" x14ac:dyDescent="0.25">
      <c r="B187" t="str">
        <f>TEXT($B$3,0) &amp;" ----- "&amp;'Data - DA'!B198</f>
        <v>Frame: 58 ----- Stem: 110x0  ----- Aluminium Aerobar + 30 + bridge + 5</v>
      </c>
      <c r="C187">
        <f t="shared" si="40"/>
        <v>530</v>
      </c>
      <c r="D187">
        <f t="shared" si="38"/>
        <v>500</v>
      </c>
      <c r="E187">
        <f t="shared" si="39"/>
        <v>580</v>
      </c>
      <c r="F187">
        <f>$G$4+'Data - DA'!D198</f>
        <v>653</v>
      </c>
      <c r="G187">
        <f t="shared" si="41"/>
        <v>655</v>
      </c>
      <c r="H187" t="str">
        <f>'Data - DA'!G198</f>
        <v xml:space="preserve">Aerobar Bolts: Top 30mm; Bottom 15mm </v>
      </c>
    </row>
    <row r="188" spans="2:8" x14ac:dyDescent="0.25">
      <c r="B188" t="str">
        <f>TEXT($B$3,0) &amp;" ----- "&amp;'Data - DA'!B199</f>
        <v>Frame: 58 ----- Stem: 110x0  ----- Aluminium Aerobar + 40 + bridge</v>
      </c>
      <c r="C188">
        <f t="shared" si="40"/>
        <v>530</v>
      </c>
      <c r="D188">
        <f t="shared" si="38"/>
        <v>500</v>
      </c>
      <c r="E188">
        <f t="shared" si="39"/>
        <v>580</v>
      </c>
      <c r="F188">
        <f>$G$4+'Data - DA'!D199</f>
        <v>658</v>
      </c>
      <c r="G188">
        <f t="shared" si="41"/>
        <v>660</v>
      </c>
      <c r="H188" t="str">
        <f>'Data - DA'!G199</f>
        <v xml:space="preserve">Aerobar Bolts: Top 35mm; Bottom 15mm </v>
      </c>
    </row>
    <row r="189" spans="2:8" x14ac:dyDescent="0.25">
      <c r="B189" t="str">
        <f>TEXT($B$3,0) &amp;" ----- "&amp;'Data - DA'!B200</f>
        <v>Frame: 58 ----- Stem: 110x0  ----- Aluminium Aerobar + 40 + bridge + 5</v>
      </c>
      <c r="C189">
        <f t="shared" si="40"/>
        <v>530</v>
      </c>
      <c r="D189">
        <f t="shared" si="38"/>
        <v>500</v>
      </c>
      <c r="E189">
        <f t="shared" si="39"/>
        <v>580</v>
      </c>
      <c r="F189">
        <f>$G$4+'Data - DA'!D200</f>
        <v>663</v>
      </c>
      <c r="G189">
        <f t="shared" si="41"/>
        <v>665</v>
      </c>
      <c r="H189" t="str">
        <f>'Data - DA'!G200</f>
        <v xml:space="preserve">Aerobar Bolts: Top 35mm; Bottom 15mm </v>
      </c>
    </row>
    <row r="190" spans="2:8" x14ac:dyDescent="0.25">
      <c r="B190" t="str">
        <f>TEXT($B$3,0) &amp;" ----- "&amp;'Data - DA'!B201</f>
        <v>Frame: 58 ----- Stem: 110x0  ----- Aluminium Aerobar + 40 + bridge + 10</v>
      </c>
      <c r="C190">
        <f t="shared" si="40"/>
        <v>530</v>
      </c>
      <c r="D190">
        <f t="shared" si="38"/>
        <v>500</v>
      </c>
      <c r="E190">
        <f t="shared" si="39"/>
        <v>580</v>
      </c>
      <c r="F190">
        <f>$G$4+'Data - DA'!D201</f>
        <v>668</v>
      </c>
      <c r="G190">
        <f t="shared" si="41"/>
        <v>670</v>
      </c>
      <c r="H190" t="str">
        <f>'Data - DA'!G201</f>
        <v xml:space="preserve">Aerobar Bolts: Top 35mm; Bottom 15mm </v>
      </c>
    </row>
    <row r="191" spans="2:8" x14ac:dyDescent="0.25">
      <c r="B191" t="str">
        <f>TEXT($B$3,0) &amp;" ----- "&amp;'Data - DA'!B202</f>
        <v>Frame: 58 ----- Stem: 110x0  ----- Aluminium Aerobar + 40 + bridge + 10 + 5</v>
      </c>
      <c r="C191">
        <f t="shared" si="40"/>
        <v>530</v>
      </c>
      <c r="D191">
        <f t="shared" si="38"/>
        <v>500</v>
      </c>
      <c r="E191">
        <f t="shared" si="39"/>
        <v>580</v>
      </c>
      <c r="F191">
        <f>$G$4+'Data - DA'!D202</f>
        <v>673</v>
      </c>
      <c r="G191">
        <f t="shared" si="41"/>
        <v>675</v>
      </c>
      <c r="H191" t="str">
        <f>'Data - DA'!G202</f>
        <v xml:space="preserve">Aerobar Bolts: Top 35mm; Bottom 25mm </v>
      </c>
    </row>
  </sheetData>
  <pageMargins left="0.7" right="0.7" top="0.75" bottom="0.7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2:P191"/>
  <sheetViews>
    <sheetView zoomScale="70" zoomScaleNormal="70" workbookViewId="0">
      <selection activeCell="B1" sqref="B1:B1048576"/>
    </sheetView>
  </sheetViews>
  <sheetFormatPr defaultRowHeight="15" x14ac:dyDescent="0.25"/>
  <cols>
    <col min="2" max="2" width="60.5703125" customWidth="1"/>
    <col min="3" max="3" width="17.42578125" bestFit="1" customWidth="1"/>
    <col min="4" max="4" width="11.42578125" bestFit="1" customWidth="1"/>
    <col min="5" max="5" width="12" bestFit="1" customWidth="1"/>
    <col min="8" max="8" width="7.140625" customWidth="1"/>
    <col min="9" max="9" width="9.140625" customWidth="1"/>
    <col min="10" max="10" width="14.7109375" customWidth="1"/>
    <col min="13" max="13" width="17.42578125" customWidth="1"/>
    <col min="14" max="14" width="12.5703125" customWidth="1"/>
  </cols>
  <sheetData>
    <row r="2" spans="2:16" x14ac:dyDescent="0.25">
      <c r="B2" t="s">
        <v>12</v>
      </c>
    </row>
    <row r="3" spans="2:16" x14ac:dyDescent="0.25">
      <c r="B3" t="s">
        <v>98</v>
      </c>
      <c r="F3" t="s">
        <v>2</v>
      </c>
      <c r="G3" t="s">
        <v>1</v>
      </c>
    </row>
    <row r="4" spans="2:16" x14ac:dyDescent="0.25">
      <c r="F4">
        <f>'Data - DA'!C7</f>
        <v>432</v>
      </c>
      <c r="G4">
        <f>'Data - DA'!D7</f>
        <v>516</v>
      </c>
    </row>
    <row r="6" spans="2:16" x14ac:dyDescent="0.25">
      <c r="J6" s="1" t="s">
        <v>2</v>
      </c>
      <c r="K6" t="str">
        <f>'Data - DA'!T7</f>
        <v>70x30</v>
      </c>
      <c r="L6" t="str">
        <f>'Data - DA'!U7</f>
        <v>70x60</v>
      </c>
      <c r="M6" t="str">
        <f>'Data - DA'!V7</f>
        <v>100x30</v>
      </c>
      <c r="N6" t="str">
        <f>'Data - DA'!W7</f>
        <v>100x60</v>
      </c>
      <c r="O6" t="str">
        <f>'Data - DA'!X7</f>
        <v>90x0</v>
      </c>
      <c r="P6" t="str">
        <f>'Data - DA'!Y7</f>
        <v>110x0</v>
      </c>
    </row>
    <row r="7" spans="2:16" x14ac:dyDescent="0.25">
      <c r="F7" t="s">
        <v>1</v>
      </c>
      <c r="J7" t="s">
        <v>70</v>
      </c>
      <c r="K7">
        <f>'Data - DA'!T11</f>
        <v>469</v>
      </c>
      <c r="L7">
        <f>'Data - DA'!U11</f>
        <v>459</v>
      </c>
      <c r="M7">
        <f>'Data - DA'!V11</f>
        <v>499</v>
      </c>
      <c r="N7">
        <f>'Data - DA'!W11</f>
        <v>490</v>
      </c>
      <c r="O7">
        <f>'Data - DA'!X11</f>
        <v>494</v>
      </c>
      <c r="P7">
        <f>'Data - DA'!Y11</f>
        <v>514</v>
      </c>
    </row>
    <row r="8" spans="2:16" x14ac:dyDescent="0.25">
      <c r="J8" t="s">
        <v>76</v>
      </c>
      <c r="K8">
        <f>'Data - DA'!T17</f>
        <v>470</v>
      </c>
      <c r="L8">
        <f>'Data - DA'!U17</f>
        <v>460</v>
      </c>
      <c r="M8">
        <f>'Data - DA'!V17</f>
        <v>500</v>
      </c>
      <c r="N8">
        <f>'Data - DA'!W17</f>
        <v>490</v>
      </c>
      <c r="O8">
        <f>'Data - DA'!X17</f>
        <v>495</v>
      </c>
      <c r="P8">
        <f>'Data - DA'!Y17</f>
        <v>515</v>
      </c>
    </row>
    <row r="9" spans="2:16" x14ac:dyDescent="0.25">
      <c r="J9" t="s">
        <v>21</v>
      </c>
      <c r="K9">
        <f>'Data - DA'!T23</f>
        <v>440</v>
      </c>
      <c r="L9">
        <f>'Data - DA'!U23</f>
        <v>430</v>
      </c>
      <c r="M9">
        <f>'Data - DA'!V23</f>
        <v>470</v>
      </c>
      <c r="N9">
        <f>'Data - DA'!W23</f>
        <v>460</v>
      </c>
      <c r="O9">
        <f>'Data - DA'!X23</f>
        <v>465</v>
      </c>
      <c r="P9">
        <f>'Data - DA'!Y23</f>
        <v>485</v>
      </c>
    </row>
    <row r="10" spans="2:16" x14ac:dyDescent="0.25">
      <c r="J10" t="s">
        <v>22</v>
      </c>
      <c r="K10">
        <f>'Data - DA'!T29</f>
        <v>520</v>
      </c>
      <c r="L10">
        <f>'Data - DA'!U29</f>
        <v>510</v>
      </c>
      <c r="M10">
        <f>'Data - DA'!V29</f>
        <v>550</v>
      </c>
      <c r="N10">
        <f>'Data - DA'!W29</f>
        <v>540</v>
      </c>
      <c r="O10">
        <f>'Data - DA'!X29</f>
        <v>545</v>
      </c>
      <c r="P10">
        <f>'Data - DA'!Y29</f>
        <v>565</v>
      </c>
    </row>
    <row r="11" spans="2:16" x14ac:dyDescent="0.25">
      <c r="C11" t="s">
        <v>82</v>
      </c>
      <c r="D11" t="s">
        <v>15</v>
      </c>
      <c r="E11" t="s">
        <v>16</v>
      </c>
    </row>
    <row r="12" spans="2:16" x14ac:dyDescent="0.25">
      <c r="B12" t="str">
        <f>TEXT($B$3,0) &amp;" ----- "&amp;'Data - DA'!B23</f>
        <v>Frame: 56 ----- Stem: 70x30  ----- Carbon Aerobar</v>
      </c>
      <c r="C12">
        <f>$K$8</f>
        <v>470</v>
      </c>
      <c r="D12">
        <f t="shared" ref="D12:D26" si="0">$K$9</f>
        <v>440</v>
      </c>
      <c r="E12">
        <f t="shared" ref="E12:E26" si="1">$K$10</f>
        <v>520</v>
      </c>
      <c r="G12">
        <f t="shared" ref="G12:G56" si="2">ROUND(F12/5,0)*5</f>
        <v>0</v>
      </c>
      <c r="H12" t="str">
        <f>'Data - DA'!G23</f>
        <v xml:space="preserve">Aerobar Bolts: Top N/A; Bottom N/A </v>
      </c>
    </row>
    <row r="13" spans="2:16" x14ac:dyDescent="0.25">
      <c r="B13" t="str">
        <f>TEXT($B$3,0) &amp;" ----- "&amp;'Data - DA'!B24</f>
        <v>Frame: 56 ----- Stem: 70x30  ----- Carbon Aerobar + 5</v>
      </c>
      <c r="C13">
        <f t="shared" ref="C13:C26" si="3">$K$8</f>
        <v>470</v>
      </c>
      <c r="D13">
        <f t="shared" si="0"/>
        <v>440</v>
      </c>
      <c r="E13">
        <f t="shared" si="1"/>
        <v>520</v>
      </c>
      <c r="F13">
        <f>$G$4+'Data - DA'!D24</f>
        <v>614</v>
      </c>
      <c r="G13">
        <f t="shared" si="2"/>
        <v>615</v>
      </c>
      <c r="H13" t="str">
        <f>'Data - DA'!G24</f>
        <v xml:space="preserve">Aerobar Bolts: Top 45mm; Bottom N/A </v>
      </c>
    </row>
    <row r="14" spans="2:16" x14ac:dyDescent="0.25">
      <c r="B14" t="str">
        <f>TEXT($B$3,0) &amp;" ----- "&amp;'Data - DA'!B25</f>
        <v>Frame: 56 ----- Stem: 70x30  ----- Carbon Aerobar + 10</v>
      </c>
      <c r="C14">
        <f t="shared" si="3"/>
        <v>470</v>
      </c>
      <c r="D14">
        <f t="shared" si="0"/>
        <v>440</v>
      </c>
      <c r="E14">
        <f t="shared" si="1"/>
        <v>520</v>
      </c>
      <c r="F14">
        <f>$G$4+'Data - DA'!D25</f>
        <v>619</v>
      </c>
      <c r="G14">
        <f t="shared" si="2"/>
        <v>620</v>
      </c>
      <c r="H14" t="str">
        <f>'Data - DA'!G25</f>
        <v xml:space="preserve">Aerobar Bolts: Top 50mm; Bottom N/A </v>
      </c>
    </row>
    <row r="15" spans="2:16" x14ac:dyDescent="0.25">
      <c r="B15" t="str">
        <f>TEXT($B$3,0) &amp;" ----- "&amp;'Data - DA'!B26</f>
        <v>Frame: 56 ----- Stem: 70x30  ----- Carbon Aerobar + 5 + 10</v>
      </c>
      <c r="C15">
        <f t="shared" si="3"/>
        <v>470</v>
      </c>
      <c r="D15">
        <f t="shared" si="0"/>
        <v>440</v>
      </c>
      <c r="E15">
        <f t="shared" si="1"/>
        <v>520</v>
      </c>
      <c r="F15">
        <f>$G$4+'Data - DA'!D26</f>
        <v>624</v>
      </c>
      <c r="G15">
        <f t="shared" si="2"/>
        <v>625</v>
      </c>
      <c r="H15" t="str">
        <f>'Data - DA'!G26</f>
        <v xml:space="preserve">Aerobar Bolts: Top 55mm; Bottom N/A </v>
      </c>
    </row>
    <row r="16" spans="2:16" x14ac:dyDescent="0.25">
      <c r="B16" t="str">
        <f>TEXT($B$3,0) &amp;" ----- "&amp;'Data - DA'!B27</f>
        <v>Frame: 56 ----- Stem: 70x30  ----- Carbon Aerobar + 20</v>
      </c>
      <c r="C16">
        <f>$K$8</f>
        <v>470</v>
      </c>
      <c r="D16">
        <f t="shared" si="0"/>
        <v>440</v>
      </c>
      <c r="E16">
        <f t="shared" si="1"/>
        <v>520</v>
      </c>
      <c r="F16">
        <f>$G$4+'Data - DA'!D27</f>
        <v>629</v>
      </c>
      <c r="G16">
        <f t="shared" si="2"/>
        <v>630</v>
      </c>
      <c r="H16" t="str">
        <f>'Data - DA'!G27</f>
        <v xml:space="preserve">Aerobar Bolts: Top 20mm; Bottom 30mm </v>
      </c>
    </row>
    <row r="17" spans="2:8" x14ac:dyDescent="0.25">
      <c r="B17" t="str">
        <f>TEXT($B$3,0) &amp;" ----- "&amp;'Data - DA'!B28</f>
        <v>Frame: 56 ----- Stem: 70x30  ----- Carbon Aerobar + 20 + 5</v>
      </c>
      <c r="C17">
        <f t="shared" si="3"/>
        <v>470</v>
      </c>
      <c r="D17">
        <f t="shared" si="0"/>
        <v>440</v>
      </c>
      <c r="E17">
        <f t="shared" si="1"/>
        <v>520</v>
      </c>
      <c r="F17">
        <f>$G$4+'Data - DA'!D28</f>
        <v>634</v>
      </c>
      <c r="G17">
        <f t="shared" si="2"/>
        <v>635</v>
      </c>
      <c r="H17" t="str">
        <f>'Data - DA'!G28</f>
        <v xml:space="preserve">Aerobar Bolts: Top 25mm; Bottom 30mm </v>
      </c>
    </row>
    <row r="18" spans="2:8" x14ac:dyDescent="0.25">
      <c r="B18" t="str">
        <f>TEXT($B$3,0) &amp;" ----- "&amp;'Data - DA'!B29</f>
        <v>Frame: 56 ----- Stem: 70x30  ----- Carbon Aerobar + 20 + bridge</v>
      </c>
      <c r="C18">
        <f t="shared" si="3"/>
        <v>470</v>
      </c>
      <c r="D18">
        <f t="shared" si="0"/>
        <v>440</v>
      </c>
      <c r="E18">
        <f t="shared" si="1"/>
        <v>520</v>
      </c>
      <c r="F18">
        <f>$G$4+'Data - DA'!D29</f>
        <v>634</v>
      </c>
      <c r="G18">
        <f t="shared" si="2"/>
        <v>635</v>
      </c>
      <c r="H18" t="str">
        <f>'Data - DA'!G29</f>
        <v xml:space="preserve">Aerobar Bolts: Top 25mm; Bottom 30mm </v>
      </c>
    </row>
    <row r="19" spans="2:8" x14ac:dyDescent="0.25">
      <c r="B19" t="str">
        <f>TEXT($B$3,0) &amp;" ----- "&amp;'Data - DA'!B30</f>
        <v>Frame: 56 ----- Stem: 70x30  ----- Carbon Aerobar + 30</v>
      </c>
      <c r="C19">
        <f t="shared" si="3"/>
        <v>470</v>
      </c>
      <c r="D19">
        <f t="shared" si="0"/>
        <v>440</v>
      </c>
      <c r="E19">
        <f t="shared" si="1"/>
        <v>520</v>
      </c>
      <c r="F19">
        <f>$G$4+'Data - DA'!D30</f>
        <v>639</v>
      </c>
      <c r="G19">
        <f t="shared" si="2"/>
        <v>640</v>
      </c>
      <c r="H19" t="str">
        <f>'Data - DA'!G30</f>
        <v xml:space="preserve">Aerobar Bolts: Top 25mm; Bottom 30mm </v>
      </c>
    </row>
    <row r="20" spans="2:8" x14ac:dyDescent="0.25">
      <c r="B20" t="str">
        <f>TEXT($B$3,0) &amp;" ----- "&amp;'Data - DA'!B31</f>
        <v>Frame: 56 ----- Stem: 70x30  ----- Carbon Aerobar + 20 + bridge + 5</v>
      </c>
      <c r="C20">
        <f t="shared" si="3"/>
        <v>470</v>
      </c>
      <c r="D20">
        <f t="shared" si="0"/>
        <v>440</v>
      </c>
      <c r="E20">
        <f t="shared" si="1"/>
        <v>520</v>
      </c>
      <c r="F20">
        <f>$G$4+'Data - DA'!D31</f>
        <v>639</v>
      </c>
      <c r="G20">
        <f t="shared" si="2"/>
        <v>640</v>
      </c>
      <c r="H20" t="str">
        <f>'Data - DA'!G31</f>
        <v xml:space="preserve">Aerobar Bolts: Top 30mm; Bottom 30mm </v>
      </c>
    </row>
    <row r="21" spans="2:8" x14ac:dyDescent="0.25">
      <c r="B21" t="str">
        <f>TEXT($B$3,0) &amp;" ----- "&amp;'Data - DA'!B32</f>
        <v>Frame: 56 ----- Stem: 70x30  ----- Carbon Aerobar + 30 + bridge</v>
      </c>
      <c r="C21">
        <f t="shared" si="3"/>
        <v>470</v>
      </c>
      <c r="D21">
        <f t="shared" si="0"/>
        <v>440</v>
      </c>
      <c r="E21">
        <f t="shared" si="1"/>
        <v>520</v>
      </c>
      <c r="F21">
        <f>$G$4+'Data - DA'!D32</f>
        <v>644</v>
      </c>
      <c r="G21">
        <f t="shared" si="2"/>
        <v>645</v>
      </c>
      <c r="H21" t="str">
        <f>'Data - DA'!G32</f>
        <v xml:space="preserve">Aerobar Bolts: Top 30mm; Bottom 30mm </v>
      </c>
    </row>
    <row r="22" spans="2:8" x14ac:dyDescent="0.25">
      <c r="B22" t="str">
        <f>TEXT($B$3,0) &amp;" ----- "&amp;'Data - DA'!B33</f>
        <v>Frame: 56 ----- Stem: 70x30  ----- Carbon Aerobar + 30 + bridge + 5</v>
      </c>
      <c r="C22">
        <f t="shared" si="3"/>
        <v>470</v>
      </c>
      <c r="D22">
        <f t="shared" si="0"/>
        <v>440</v>
      </c>
      <c r="E22">
        <f t="shared" si="1"/>
        <v>520</v>
      </c>
      <c r="F22">
        <f>$G$4+'Data - DA'!D33</f>
        <v>649</v>
      </c>
      <c r="G22">
        <f t="shared" si="2"/>
        <v>650</v>
      </c>
      <c r="H22" t="str">
        <f>'Data - DA'!G33</f>
        <v xml:space="preserve">Aerobar Bolts: Top 35mm; Bottom 30mm </v>
      </c>
    </row>
    <row r="23" spans="2:8" x14ac:dyDescent="0.25">
      <c r="B23" t="str">
        <f>TEXT($B$3,0) &amp;" ----- "&amp;'Data - DA'!B34</f>
        <v>Frame: 56 ----- Stem: 70x30  ----- Carbon Aerobar + 40 + bridge</v>
      </c>
      <c r="C23">
        <f t="shared" si="3"/>
        <v>470</v>
      </c>
      <c r="D23">
        <f t="shared" si="0"/>
        <v>440</v>
      </c>
      <c r="E23">
        <f t="shared" si="1"/>
        <v>520</v>
      </c>
      <c r="F23">
        <f>$G$4+'Data - DA'!D34</f>
        <v>654</v>
      </c>
      <c r="G23">
        <f t="shared" si="2"/>
        <v>655</v>
      </c>
      <c r="H23" t="str">
        <f>'Data - DA'!G34</f>
        <v xml:space="preserve">Aerobar Bolts: Top 35mm; Bottom 30mm </v>
      </c>
    </row>
    <row r="24" spans="2:8" x14ac:dyDescent="0.25">
      <c r="B24" t="str">
        <f>TEXT($B$3,0) &amp;" ----- "&amp;'Data - DA'!B35</f>
        <v>Frame: 56 ----- Stem: 70x30  ----- Carbon Aerobar + 40 + bridge + 5</v>
      </c>
      <c r="C24">
        <f t="shared" si="3"/>
        <v>470</v>
      </c>
      <c r="D24">
        <f t="shared" si="0"/>
        <v>440</v>
      </c>
      <c r="E24">
        <f t="shared" si="1"/>
        <v>520</v>
      </c>
      <c r="F24">
        <f>$G$4+'Data - DA'!D35</f>
        <v>659</v>
      </c>
      <c r="G24">
        <f t="shared" si="2"/>
        <v>660</v>
      </c>
      <c r="H24" t="str">
        <f>'Data - DA'!G35</f>
        <v xml:space="preserve">Aerobar Bolts: Top 35mm; Bottom 30mm </v>
      </c>
    </row>
    <row r="25" spans="2:8" x14ac:dyDescent="0.25">
      <c r="B25" t="str">
        <f>TEXT($B$3,0) &amp;" ----- "&amp;'Data - DA'!B36</f>
        <v>Frame: 56 ----- Stem: 70x30  ----- Carbon Aerobar + 40 + bridge + 10</v>
      </c>
      <c r="C25">
        <f t="shared" si="3"/>
        <v>470</v>
      </c>
      <c r="D25">
        <f t="shared" si="0"/>
        <v>440</v>
      </c>
      <c r="E25">
        <f t="shared" si="1"/>
        <v>520</v>
      </c>
      <c r="F25">
        <f>$G$4+'Data - DA'!D36</f>
        <v>664</v>
      </c>
      <c r="G25">
        <f t="shared" si="2"/>
        <v>665</v>
      </c>
      <c r="H25" t="str">
        <f>'Data - DA'!G36</f>
        <v xml:space="preserve">Aerobar Bolts: Top 40mm; Bottom 30mm </v>
      </c>
    </row>
    <row r="26" spans="2:8" x14ac:dyDescent="0.25">
      <c r="B26" t="str">
        <f>TEXT($B$3,0) &amp;" ----- "&amp;'Data - DA'!B37</f>
        <v>Frame: 56 ----- Stem: 70x30  ----- Carbon Aerobar + 40 + bridge + 10 + 5</v>
      </c>
      <c r="C26">
        <f t="shared" si="3"/>
        <v>470</v>
      </c>
      <c r="D26">
        <f t="shared" si="0"/>
        <v>440</v>
      </c>
      <c r="E26">
        <f t="shared" si="1"/>
        <v>520</v>
      </c>
      <c r="F26">
        <f>$G$4+'Data - DA'!D37</f>
        <v>669</v>
      </c>
      <c r="G26">
        <f t="shared" si="2"/>
        <v>670</v>
      </c>
      <c r="H26" t="str">
        <f>'Data - DA'!G37</f>
        <v xml:space="preserve">Aerobar Bolts: Top 45mm; Bottom 30mm </v>
      </c>
    </row>
    <row r="27" spans="2:8" x14ac:dyDescent="0.25">
      <c r="B27" t="str">
        <f>TEXT($B$3,0) &amp;" ----- "&amp;'Data - DA'!B38</f>
        <v>Frame: 56 ----- Stem: 70x60  ----- Carbon Aerobar</v>
      </c>
      <c r="C27">
        <f>$L$8</f>
        <v>460</v>
      </c>
      <c r="D27">
        <f t="shared" ref="D27:D41" si="4">$L$9</f>
        <v>430</v>
      </c>
      <c r="E27">
        <f t="shared" ref="E27:E41" si="5">$L$10</f>
        <v>510</v>
      </c>
      <c r="G27">
        <f t="shared" si="2"/>
        <v>0</v>
      </c>
      <c r="H27" t="str">
        <f>'Data - DA'!G38</f>
        <v xml:space="preserve">Aerobar Bolts: Top N/A; Bottom N/A </v>
      </c>
    </row>
    <row r="28" spans="2:8" x14ac:dyDescent="0.25">
      <c r="B28" t="str">
        <f>TEXT($B$3,0) &amp;" ----- "&amp;'Data - DA'!B39</f>
        <v>Frame: 56 ----- Stem: 70x60  ----- Carbon Aerobar + 5</v>
      </c>
      <c r="C28">
        <f t="shared" ref="C28:C41" si="6">$L$8</f>
        <v>460</v>
      </c>
      <c r="D28">
        <f t="shared" si="4"/>
        <v>430</v>
      </c>
      <c r="E28">
        <f t="shared" si="5"/>
        <v>510</v>
      </c>
      <c r="F28">
        <f>$G$4+'Data - DA'!D39</f>
        <v>645</v>
      </c>
      <c r="G28">
        <f t="shared" si="2"/>
        <v>645</v>
      </c>
      <c r="H28" t="str">
        <f>'Data - DA'!G39</f>
        <v xml:space="preserve">Aerobar Bolts: Top 45mm; Bottom N/A </v>
      </c>
    </row>
    <row r="29" spans="2:8" x14ac:dyDescent="0.25">
      <c r="B29" t="str">
        <f>TEXT($B$3,0) &amp;" ----- "&amp;'Data - DA'!B40</f>
        <v>Frame: 56 ----- Stem: 70x60  ----- Carbon Aerobar + 10</v>
      </c>
      <c r="C29">
        <f t="shared" si="6"/>
        <v>460</v>
      </c>
      <c r="D29">
        <f t="shared" si="4"/>
        <v>430</v>
      </c>
      <c r="E29">
        <f t="shared" si="5"/>
        <v>510</v>
      </c>
      <c r="F29">
        <f>$G$4+'Data - DA'!D40</f>
        <v>650</v>
      </c>
      <c r="G29">
        <f t="shared" si="2"/>
        <v>650</v>
      </c>
      <c r="H29" t="str">
        <f>'Data - DA'!G40</f>
        <v xml:space="preserve">Aerobar Bolts: Top 50mm; Bottom N/A </v>
      </c>
    </row>
    <row r="30" spans="2:8" x14ac:dyDescent="0.25">
      <c r="B30" t="str">
        <f>TEXT($B$3,0) &amp;" ----- "&amp;'Data - DA'!B41</f>
        <v>Frame: 56 ----- Stem: 70x60  ----- Carbon Aerobar + 5 + 10</v>
      </c>
      <c r="C30">
        <f t="shared" si="6"/>
        <v>460</v>
      </c>
      <c r="D30">
        <f t="shared" si="4"/>
        <v>430</v>
      </c>
      <c r="E30">
        <f t="shared" si="5"/>
        <v>510</v>
      </c>
      <c r="F30">
        <f>$G$4+'Data - DA'!D41</f>
        <v>655</v>
      </c>
      <c r="G30">
        <f t="shared" si="2"/>
        <v>655</v>
      </c>
      <c r="H30" t="str">
        <f>'Data - DA'!G41</f>
        <v xml:space="preserve">Aerobar Bolts: Top 55mm; Bottom N/A </v>
      </c>
    </row>
    <row r="31" spans="2:8" x14ac:dyDescent="0.25">
      <c r="B31" t="str">
        <f>TEXT($B$3,0) &amp;" ----- "&amp;'Data - DA'!B42</f>
        <v>Frame: 56 ----- Stem: 70x60  ----- Carbon Aerobar + 20</v>
      </c>
      <c r="C31">
        <f t="shared" si="6"/>
        <v>460</v>
      </c>
      <c r="D31">
        <f t="shared" si="4"/>
        <v>430</v>
      </c>
      <c r="E31">
        <f t="shared" si="5"/>
        <v>510</v>
      </c>
      <c r="F31">
        <f>$G$4+'Data - DA'!D42</f>
        <v>660</v>
      </c>
      <c r="G31">
        <f t="shared" si="2"/>
        <v>660</v>
      </c>
      <c r="H31" t="str">
        <f>'Data - DA'!G42</f>
        <v xml:space="preserve">Aerobar Bolts: Top 20mm; Bottom 30mm </v>
      </c>
    </row>
    <row r="32" spans="2:8" x14ac:dyDescent="0.25">
      <c r="B32" t="str">
        <f>TEXT($B$3,0) &amp;" ----- "&amp;'Data - DA'!B43</f>
        <v>Frame: 56 ----- Stem: 70x60  ----- Carbon Aerobar + 20 + 5</v>
      </c>
      <c r="C32">
        <f t="shared" si="6"/>
        <v>460</v>
      </c>
      <c r="D32">
        <f t="shared" si="4"/>
        <v>430</v>
      </c>
      <c r="E32">
        <f t="shared" si="5"/>
        <v>510</v>
      </c>
      <c r="F32">
        <f>$G$4+'Data - DA'!D43</f>
        <v>665</v>
      </c>
      <c r="G32">
        <f t="shared" si="2"/>
        <v>665</v>
      </c>
      <c r="H32" t="str">
        <f>'Data - DA'!G43</f>
        <v xml:space="preserve">Aerobar Bolts: Top 25mm; Bottom 30mm </v>
      </c>
    </row>
    <row r="33" spans="2:8" x14ac:dyDescent="0.25">
      <c r="B33" t="str">
        <f>TEXT($B$3,0) &amp;" ----- "&amp;'Data - DA'!B44</f>
        <v>Frame: 56 ----- Stem: 70x60  ----- Carbon Aerobar + 20 + bridge</v>
      </c>
      <c r="C33">
        <f t="shared" si="6"/>
        <v>460</v>
      </c>
      <c r="D33">
        <f t="shared" si="4"/>
        <v>430</v>
      </c>
      <c r="E33">
        <f t="shared" si="5"/>
        <v>510</v>
      </c>
      <c r="F33">
        <f>$G$4+'Data - DA'!D44</f>
        <v>665</v>
      </c>
      <c r="G33">
        <f t="shared" si="2"/>
        <v>665</v>
      </c>
      <c r="H33" t="str">
        <f>'Data - DA'!G44</f>
        <v xml:space="preserve">Aerobar Bolts: Top 25mm; Bottom 30mm </v>
      </c>
    </row>
    <row r="34" spans="2:8" x14ac:dyDescent="0.25">
      <c r="B34" t="str">
        <f>TEXT($B$3,0) &amp;" ----- "&amp;'Data - DA'!B45</f>
        <v>Frame: 56 ----- Stem: 70x60  ----- Carbon Aerobar + 30</v>
      </c>
      <c r="C34">
        <f t="shared" si="6"/>
        <v>460</v>
      </c>
      <c r="D34">
        <f t="shared" si="4"/>
        <v>430</v>
      </c>
      <c r="E34">
        <f t="shared" si="5"/>
        <v>510</v>
      </c>
      <c r="F34">
        <f>$G$4+'Data - DA'!D45</f>
        <v>670</v>
      </c>
      <c r="G34">
        <f t="shared" si="2"/>
        <v>670</v>
      </c>
      <c r="H34" t="str">
        <f>'Data - DA'!G45</f>
        <v xml:space="preserve">Aerobar Bolts: Top 25mm; Bottom 30mm </v>
      </c>
    </row>
    <row r="35" spans="2:8" x14ac:dyDescent="0.25">
      <c r="B35" t="str">
        <f>TEXT($B$3,0) &amp;" ----- "&amp;'Data - DA'!B46</f>
        <v>Frame: 56 ----- Stem: 70x60  ----- Carbon Aerobar + 20 + bridge + 5</v>
      </c>
      <c r="C35">
        <f t="shared" si="6"/>
        <v>460</v>
      </c>
      <c r="D35">
        <f t="shared" si="4"/>
        <v>430</v>
      </c>
      <c r="E35">
        <f t="shared" si="5"/>
        <v>510</v>
      </c>
      <c r="F35">
        <f>$G$4+'Data - DA'!D46</f>
        <v>670</v>
      </c>
      <c r="G35">
        <f t="shared" si="2"/>
        <v>670</v>
      </c>
      <c r="H35" t="str">
        <f>'Data - DA'!G46</f>
        <v xml:space="preserve">Aerobar Bolts: Top 30mm; Bottom 30mm </v>
      </c>
    </row>
    <row r="36" spans="2:8" x14ac:dyDescent="0.25">
      <c r="B36" t="str">
        <f>TEXT($B$3,0) &amp;" ----- "&amp;'Data - DA'!B47</f>
        <v>Frame: 56 ----- Stem: 70x60  ----- Carbon Aerobar + 30 + bridge</v>
      </c>
      <c r="C36">
        <f t="shared" si="6"/>
        <v>460</v>
      </c>
      <c r="D36">
        <f t="shared" si="4"/>
        <v>430</v>
      </c>
      <c r="E36">
        <f t="shared" si="5"/>
        <v>510</v>
      </c>
      <c r="F36">
        <f>$G$4+'Data - DA'!D47</f>
        <v>675</v>
      </c>
      <c r="G36">
        <f t="shared" si="2"/>
        <v>675</v>
      </c>
      <c r="H36" t="str">
        <f>'Data - DA'!G47</f>
        <v xml:space="preserve">Aerobar Bolts: Top 30mm; Bottom 30mm </v>
      </c>
    </row>
    <row r="37" spans="2:8" x14ac:dyDescent="0.25">
      <c r="B37" t="str">
        <f>TEXT($B$3,0) &amp;" ----- "&amp;'Data - DA'!B48</f>
        <v>Frame: 56 ----- Stem: 70x60  ----- Carbon Aerobar + 30 + bridge + 5</v>
      </c>
      <c r="C37">
        <f t="shared" si="6"/>
        <v>460</v>
      </c>
      <c r="D37">
        <f t="shared" si="4"/>
        <v>430</v>
      </c>
      <c r="E37">
        <f t="shared" si="5"/>
        <v>510</v>
      </c>
      <c r="F37">
        <f>$G$4+'Data - DA'!D48</f>
        <v>680</v>
      </c>
      <c r="G37">
        <f t="shared" si="2"/>
        <v>680</v>
      </c>
      <c r="H37" t="str">
        <f>'Data - DA'!G48</f>
        <v xml:space="preserve">Aerobar Bolts: Top 35mm; Bottom 30mm </v>
      </c>
    </row>
    <row r="38" spans="2:8" x14ac:dyDescent="0.25">
      <c r="B38" t="str">
        <f>TEXT($B$3,0) &amp;" ----- "&amp;'Data - DA'!B49</f>
        <v>Frame: 56 ----- Stem: 70x60  ----- Carbon Aerobar + 40 + bridge</v>
      </c>
      <c r="C38">
        <f t="shared" si="6"/>
        <v>460</v>
      </c>
      <c r="D38">
        <f t="shared" si="4"/>
        <v>430</v>
      </c>
      <c r="E38">
        <f t="shared" si="5"/>
        <v>510</v>
      </c>
      <c r="F38">
        <f>$G$4+'Data - DA'!D49</f>
        <v>685</v>
      </c>
      <c r="G38">
        <f t="shared" si="2"/>
        <v>685</v>
      </c>
      <c r="H38" t="str">
        <f>'Data - DA'!G49</f>
        <v xml:space="preserve">Aerobar Bolts: Top 35mm; Bottom 30mm </v>
      </c>
    </row>
    <row r="39" spans="2:8" x14ac:dyDescent="0.25">
      <c r="B39" t="str">
        <f>TEXT($B$3,0) &amp;" ----- "&amp;'Data - DA'!B50</f>
        <v>Frame: 56 ----- Stem: 70x60  ----- Carbon Aerobar + 40 + bridge + 5</v>
      </c>
      <c r="C39">
        <f t="shared" si="6"/>
        <v>460</v>
      </c>
      <c r="D39">
        <f t="shared" si="4"/>
        <v>430</v>
      </c>
      <c r="E39">
        <f t="shared" si="5"/>
        <v>510</v>
      </c>
      <c r="F39">
        <f>$G$4+'Data - DA'!D50</f>
        <v>690</v>
      </c>
      <c r="G39">
        <f t="shared" si="2"/>
        <v>690</v>
      </c>
      <c r="H39" t="str">
        <f>'Data - DA'!G50</f>
        <v xml:space="preserve">Aerobar Bolts: Top 35mm; Bottom 30mm </v>
      </c>
    </row>
    <row r="40" spans="2:8" x14ac:dyDescent="0.25">
      <c r="B40" t="str">
        <f>TEXT($B$3,0) &amp;" ----- "&amp;'Data - DA'!B51</f>
        <v>Frame: 56 ----- Stem: 70x60  ----- Carbon Aerobar + 40 + bridge + 10</v>
      </c>
      <c r="C40">
        <f t="shared" si="6"/>
        <v>460</v>
      </c>
      <c r="D40">
        <f t="shared" si="4"/>
        <v>430</v>
      </c>
      <c r="E40">
        <f t="shared" si="5"/>
        <v>510</v>
      </c>
      <c r="F40">
        <f>$G$4+'Data - DA'!D51</f>
        <v>695</v>
      </c>
      <c r="G40">
        <f t="shared" si="2"/>
        <v>695</v>
      </c>
      <c r="H40" t="str">
        <f>'Data - DA'!G51</f>
        <v xml:space="preserve">Aerobar Bolts: Top 40mm; Bottom 30mm </v>
      </c>
    </row>
    <row r="41" spans="2:8" x14ac:dyDescent="0.25">
      <c r="B41" t="str">
        <f>TEXT($B$3,0) &amp;" ----- "&amp;'Data - DA'!B52</f>
        <v>Frame: 56 ----- Stem: 70x60  ----- Carbon Aerobar + 40 + bridge + 10 + 5</v>
      </c>
      <c r="C41">
        <f t="shared" si="6"/>
        <v>460</v>
      </c>
      <c r="D41">
        <f t="shared" si="4"/>
        <v>430</v>
      </c>
      <c r="E41">
        <f t="shared" si="5"/>
        <v>510</v>
      </c>
      <c r="F41">
        <f>$G$4+'Data - DA'!D52</f>
        <v>700</v>
      </c>
      <c r="G41">
        <f t="shared" si="2"/>
        <v>700</v>
      </c>
      <c r="H41" t="str">
        <f>'Data - DA'!G52</f>
        <v xml:space="preserve">Aerobar Bolts: Top 45mm; Bottom 30mm </v>
      </c>
    </row>
    <row r="42" spans="2:8" x14ac:dyDescent="0.25">
      <c r="B42" t="str">
        <f>TEXT($B$3,0) &amp;" ----- "&amp;'Data - DA'!B53</f>
        <v>Frame: 56 ----- Stem: 100x30  ----- Carbon Aerobar</v>
      </c>
      <c r="C42">
        <f>$M$8</f>
        <v>500</v>
      </c>
      <c r="D42">
        <f t="shared" ref="D42:D56" si="7">$M$9</f>
        <v>470</v>
      </c>
      <c r="E42">
        <f t="shared" ref="E42:E56" si="8">$M$10</f>
        <v>550</v>
      </c>
      <c r="G42">
        <f t="shared" si="2"/>
        <v>0</v>
      </c>
      <c r="H42" t="str">
        <f>'Data - DA'!G53</f>
        <v xml:space="preserve">Aerobar Bolts: Top N/A; Bottom N/A </v>
      </c>
    </row>
    <row r="43" spans="2:8" x14ac:dyDescent="0.25">
      <c r="B43" t="str">
        <f>TEXT($B$3,0) &amp;" ----- "&amp;'Data - DA'!B54</f>
        <v>Frame: 56 ----- Stem: 100x30  ----- Carbon Aerobar + 5</v>
      </c>
      <c r="C43">
        <f t="shared" ref="C43:C56" si="9">$M$8</f>
        <v>500</v>
      </c>
      <c r="D43">
        <f t="shared" si="7"/>
        <v>470</v>
      </c>
      <c r="E43">
        <f t="shared" si="8"/>
        <v>550</v>
      </c>
      <c r="F43">
        <f>$G$4+'Data - DA'!D54</f>
        <v>615</v>
      </c>
      <c r="G43">
        <f t="shared" si="2"/>
        <v>615</v>
      </c>
      <c r="H43" t="str">
        <f>'Data - DA'!G54</f>
        <v xml:space="preserve">Aerobar Bolts: Top 45mm; Bottom N/A </v>
      </c>
    </row>
    <row r="44" spans="2:8" x14ac:dyDescent="0.25">
      <c r="B44" t="str">
        <f>TEXT($B$3,0) &amp;" ----- "&amp;'Data - DA'!B55</f>
        <v>Frame: 56 ----- Stem: 100x30  ----- Carbon Aerobar + 10</v>
      </c>
      <c r="C44">
        <f t="shared" si="9"/>
        <v>500</v>
      </c>
      <c r="D44">
        <f t="shared" si="7"/>
        <v>470</v>
      </c>
      <c r="E44">
        <f t="shared" si="8"/>
        <v>550</v>
      </c>
      <c r="F44">
        <f>$G$4+'Data - DA'!D55</f>
        <v>620</v>
      </c>
      <c r="G44">
        <f t="shared" si="2"/>
        <v>620</v>
      </c>
      <c r="H44" t="str">
        <f>'Data - DA'!G55</f>
        <v xml:space="preserve">Aerobar Bolts: Top 50mm; Bottom N/A </v>
      </c>
    </row>
    <row r="45" spans="2:8" x14ac:dyDescent="0.25">
      <c r="B45" t="str">
        <f>TEXT($B$3,0) &amp;" ----- "&amp;'Data - DA'!B56</f>
        <v>Frame: 56 ----- Stem: 100x30  ----- Carbon Aerobar + 5 + 10</v>
      </c>
      <c r="C45">
        <f t="shared" si="9"/>
        <v>500</v>
      </c>
      <c r="D45">
        <f t="shared" si="7"/>
        <v>470</v>
      </c>
      <c r="E45">
        <f t="shared" si="8"/>
        <v>550</v>
      </c>
      <c r="F45">
        <f>$G$4+'Data - DA'!D56</f>
        <v>625</v>
      </c>
      <c r="G45">
        <f t="shared" si="2"/>
        <v>625</v>
      </c>
      <c r="H45" t="str">
        <f>'Data - DA'!G56</f>
        <v xml:space="preserve">Aerobar Bolts: Top 55mm; Bottom N/A </v>
      </c>
    </row>
    <row r="46" spans="2:8" x14ac:dyDescent="0.25">
      <c r="B46" t="str">
        <f>TEXT($B$3,0) &amp;" ----- "&amp;'Data - DA'!B57</f>
        <v>Frame: 56 ----- Stem: 100x30  ----- Carbon Aerobar + 20</v>
      </c>
      <c r="C46">
        <f t="shared" si="9"/>
        <v>500</v>
      </c>
      <c r="D46">
        <f t="shared" si="7"/>
        <v>470</v>
      </c>
      <c r="E46">
        <f t="shared" si="8"/>
        <v>550</v>
      </c>
      <c r="F46">
        <f>$G$4+'Data - DA'!D57</f>
        <v>630</v>
      </c>
      <c r="G46">
        <f t="shared" si="2"/>
        <v>630</v>
      </c>
      <c r="H46" t="str">
        <f>'Data - DA'!G57</f>
        <v xml:space="preserve">Aerobar Bolts: Top 20mm; Bottom 30mm </v>
      </c>
    </row>
    <row r="47" spans="2:8" x14ac:dyDescent="0.25">
      <c r="B47" t="str">
        <f>TEXT($B$3,0) &amp;" ----- "&amp;'Data - DA'!B58</f>
        <v>Frame: 56 ----- Stem: 100x30  ----- Carbon Aerobar + 20 + 5</v>
      </c>
      <c r="C47">
        <f t="shared" si="9"/>
        <v>500</v>
      </c>
      <c r="D47">
        <f t="shared" si="7"/>
        <v>470</v>
      </c>
      <c r="E47">
        <f t="shared" si="8"/>
        <v>550</v>
      </c>
      <c r="F47">
        <f>$G$4+'Data - DA'!D58</f>
        <v>635</v>
      </c>
      <c r="G47">
        <f t="shared" si="2"/>
        <v>635</v>
      </c>
      <c r="H47" t="str">
        <f>'Data - DA'!G58</f>
        <v xml:space="preserve">Aerobar Bolts: Top 25mm; Bottom 30mm </v>
      </c>
    </row>
    <row r="48" spans="2:8" x14ac:dyDescent="0.25">
      <c r="B48" t="str">
        <f>TEXT($B$3,0) &amp;" ----- "&amp;'Data - DA'!B59</f>
        <v>Frame: 56 ----- Stem: 100x30  ----- Carbon Aerobar + 20 + bridge</v>
      </c>
      <c r="C48">
        <f t="shared" si="9"/>
        <v>500</v>
      </c>
      <c r="D48">
        <f t="shared" si="7"/>
        <v>470</v>
      </c>
      <c r="E48">
        <f t="shared" si="8"/>
        <v>550</v>
      </c>
      <c r="F48">
        <f>$G$4+'Data - DA'!D59</f>
        <v>635</v>
      </c>
      <c r="G48">
        <f t="shared" si="2"/>
        <v>635</v>
      </c>
      <c r="H48" t="str">
        <f>'Data - DA'!G59</f>
        <v xml:space="preserve">Aerobar Bolts: Top 25mm; Bottom 30mm </v>
      </c>
    </row>
    <row r="49" spans="2:8" x14ac:dyDescent="0.25">
      <c r="B49" t="str">
        <f>TEXT($B$3,0) &amp;" ----- "&amp;'Data - DA'!B60</f>
        <v>Frame: 56 ----- Stem: 100x30  ----- Carbon Aerobar + 30</v>
      </c>
      <c r="C49">
        <f t="shared" si="9"/>
        <v>500</v>
      </c>
      <c r="D49">
        <f t="shared" si="7"/>
        <v>470</v>
      </c>
      <c r="E49">
        <f t="shared" si="8"/>
        <v>550</v>
      </c>
      <c r="F49">
        <f>$G$4+'Data - DA'!D60</f>
        <v>640</v>
      </c>
      <c r="G49">
        <f t="shared" si="2"/>
        <v>640</v>
      </c>
      <c r="H49" t="str">
        <f>'Data - DA'!G60</f>
        <v xml:space="preserve">Aerobar Bolts: Top 25mm; Bottom 30mm </v>
      </c>
    </row>
    <row r="50" spans="2:8" x14ac:dyDescent="0.25">
      <c r="B50" t="str">
        <f>TEXT($B$3,0) &amp;" ----- "&amp;'Data - DA'!B61</f>
        <v>Frame: 56 ----- Stem: 100x30  ----- Carbon Aerobar + 20 + bridge + 5</v>
      </c>
      <c r="C50">
        <f t="shared" si="9"/>
        <v>500</v>
      </c>
      <c r="D50">
        <f t="shared" si="7"/>
        <v>470</v>
      </c>
      <c r="E50">
        <f t="shared" si="8"/>
        <v>550</v>
      </c>
      <c r="F50">
        <f>$G$4+'Data - DA'!D61</f>
        <v>640</v>
      </c>
      <c r="G50">
        <f t="shared" si="2"/>
        <v>640</v>
      </c>
      <c r="H50" t="str">
        <f>'Data - DA'!G61</f>
        <v xml:space="preserve">Aerobar Bolts: Top 30mm; Bottom 30mm </v>
      </c>
    </row>
    <row r="51" spans="2:8" x14ac:dyDescent="0.25">
      <c r="B51" t="str">
        <f>TEXT($B$3,0) &amp;" ----- "&amp;'Data - DA'!B62</f>
        <v>Frame: 56 ----- Stem: 100x30  ----- Carbon Aerobar + 30 + bridge</v>
      </c>
      <c r="C51">
        <f t="shared" si="9"/>
        <v>500</v>
      </c>
      <c r="D51">
        <f t="shared" si="7"/>
        <v>470</v>
      </c>
      <c r="E51">
        <f t="shared" si="8"/>
        <v>550</v>
      </c>
      <c r="F51">
        <f>$G$4+'Data - DA'!D62</f>
        <v>645</v>
      </c>
      <c r="G51">
        <f t="shared" si="2"/>
        <v>645</v>
      </c>
      <c r="H51" t="str">
        <f>'Data - DA'!G62</f>
        <v xml:space="preserve">Aerobar Bolts: Top 30mm; Bottom 30mm </v>
      </c>
    </row>
    <row r="52" spans="2:8" x14ac:dyDescent="0.25">
      <c r="B52" t="str">
        <f>TEXT($B$3,0) &amp;" ----- "&amp;'Data - DA'!B63</f>
        <v>Frame: 56 ----- Stem: 100x30  ----- Carbon Aerobar + 30 + bridge + 5</v>
      </c>
      <c r="C52">
        <f t="shared" si="9"/>
        <v>500</v>
      </c>
      <c r="D52">
        <f t="shared" si="7"/>
        <v>470</v>
      </c>
      <c r="E52">
        <f t="shared" si="8"/>
        <v>550</v>
      </c>
      <c r="F52">
        <f>$G$4+'Data - DA'!D63</f>
        <v>650</v>
      </c>
      <c r="G52">
        <f t="shared" si="2"/>
        <v>650</v>
      </c>
      <c r="H52" t="str">
        <f>'Data - DA'!G63</f>
        <v xml:space="preserve">Aerobar Bolts: Top 35mm; Bottom 30mm </v>
      </c>
    </row>
    <row r="53" spans="2:8" x14ac:dyDescent="0.25">
      <c r="B53" t="str">
        <f>TEXT($B$3,0) &amp;" ----- "&amp;'Data - DA'!B64</f>
        <v>Frame: 56 ----- Stem: 100x30  ----- Carbon Aerobar + 40 + bridge</v>
      </c>
      <c r="C53">
        <f t="shared" si="9"/>
        <v>500</v>
      </c>
      <c r="D53">
        <f t="shared" si="7"/>
        <v>470</v>
      </c>
      <c r="E53">
        <f t="shared" si="8"/>
        <v>550</v>
      </c>
      <c r="F53">
        <f>$G$4+'Data - DA'!D64</f>
        <v>655</v>
      </c>
      <c r="G53">
        <f t="shared" si="2"/>
        <v>655</v>
      </c>
      <c r="H53" t="str">
        <f>'Data - DA'!G64</f>
        <v xml:space="preserve">Aerobar Bolts: Top 35mm; Bottom 30mm </v>
      </c>
    </row>
    <row r="54" spans="2:8" x14ac:dyDescent="0.25">
      <c r="B54" t="str">
        <f>TEXT($B$3,0) &amp;" ----- "&amp;'Data - DA'!B65</f>
        <v>Frame: 56 ----- Stem: 100x30  ----- Carbon Aerobar + 40 + bridge + 5</v>
      </c>
      <c r="C54">
        <f t="shared" si="9"/>
        <v>500</v>
      </c>
      <c r="D54">
        <f t="shared" si="7"/>
        <v>470</v>
      </c>
      <c r="E54">
        <f t="shared" si="8"/>
        <v>550</v>
      </c>
      <c r="F54">
        <f>$G$4+'Data - DA'!D65</f>
        <v>660</v>
      </c>
      <c r="G54">
        <f t="shared" si="2"/>
        <v>660</v>
      </c>
      <c r="H54" t="str">
        <f>'Data - DA'!G65</f>
        <v xml:space="preserve">Aerobar Bolts: Top 35mm; Bottom 30mm </v>
      </c>
    </row>
    <row r="55" spans="2:8" x14ac:dyDescent="0.25">
      <c r="B55" t="str">
        <f>TEXT($B$3,0) &amp;" ----- "&amp;'Data - DA'!B66</f>
        <v>Frame: 56 ----- Stem: 100x30  ----- Carbon Aerobar + 40 + bridge + 10</v>
      </c>
      <c r="C55">
        <f t="shared" si="9"/>
        <v>500</v>
      </c>
      <c r="D55">
        <f t="shared" si="7"/>
        <v>470</v>
      </c>
      <c r="E55">
        <f t="shared" si="8"/>
        <v>550</v>
      </c>
      <c r="F55">
        <f>$G$4+'Data - DA'!D66</f>
        <v>665</v>
      </c>
      <c r="G55">
        <f t="shared" si="2"/>
        <v>665</v>
      </c>
      <c r="H55" t="str">
        <f>'Data - DA'!G66</f>
        <v xml:space="preserve">Aerobar Bolts: Top 40mm; Bottom 30mm </v>
      </c>
    </row>
    <row r="56" spans="2:8" x14ac:dyDescent="0.25">
      <c r="B56" t="str">
        <f>TEXT($B$3,0) &amp;" ----- "&amp;'Data - DA'!B67</f>
        <v>Frame: 56 ----- Stem: 100x30  ----- Carbon Aerobar + 40 + bridge + 10 + 5</v>
      </c>
      <c r="C56">
        <f t="shared" si="9"/>
        <v>500</v>
      </c>
      <c r="D56">
        <f t="shared" si="7"/>
        <v>470</v>
      </c>
      <c r="E56">
        <f t="shared" si="8"/>
        <v>550</v>
      </c>
      <c r="F56">
        <f>$G$4+'Data - DA'!D67</f>
        <v>670</v>
      </c>
      <c r="G56">
        <f t="shared" si="2"/>
        <v>670</v>
      </c>
      <c r="H56" t="str">
        <f>'Data - DA'!G67</f>
        <v xml:space="preserve">Aerobar Bolts: Top 45mm; Bottom 30mm </v>
      </c>
    </row>
    <row r="57" spans="2:8" x14ac:dyDescent="0.25">
      <c r="B57" t="str">
        <f>TEXT($B$3,0) &amp;" ----- "&amp;'Data - DA'!B68</f>
        <v>Frame: 56 ----- Stem: 100x60  ----- Carbon Aerobar</v>
      </c>
      <c r="C57">
        <f>$N$8</f>
        <v>490</v>
      </c>
      <c r="D57">
        <f t="shared" ref="D57:D71" si="10">$N$9</f>
        <v>460</v>
      </c>
      <c r="E57">
        <f t="shared" ref="E57:E71" si="11">$N$10</f>
        <v>540</v>
      </c>
      <c r="H57" t="str">
        <f>'Data - DA'!G68</f>
        <v xml:space="preserve">Aerobar Bolts: Top N/A; Bottom N/A </v>
      </c>
    </row>
    <row r="58" spans="2:8" x14ac:dyDescent="0.25">
      <c r="B58" t="str">
        <f>TEXT($B$3,0) &amp;" ----- "&amp;'Data - DA'!B69</f>
        <v>Frame: 56 ----- Stem: 100x60  ----- Carbon Aerobar + 5</v>
      </c>
      <c r="C58">
        <f t="shared" ref="C58:C71" si="12">$N$8</f>
        <v>490</v>
      </c>
      <c r="D58">
        <f t="shared" si="10"/>
        <v>460</v>
      </c>
      <c r="E58">
        <f t="shared" si="11"/>
        <v>540</v>
      </c>
      <c r="F58">
        <f>$G$4+'Data - DA'!D69</f>
        <v>645</v>
      </c>
      <c r="G58">
        <f t="shared" ref="G58:G151" si="13">ROUND(F58/5,0)*5</f>
        <v>645</v>
      </c>
      <c r="H58" t="str">
        <f>'Data - DA'!G69</f>
        <v xml:space="preserve">Aerobar Bolts: Top 45mm; Bottom N/A </v>
      </c>
    </row>
    <row r="59" spans="2:8" x14ac:dyDescent="0.25">
      <c r="B59" t="str">
        <f>TEXT($B$3,0) &amp;" ----- "&amp;'Data - DA'!B70</f>
        <v>Frame: 56 ----- Stem: 100x60  ----- Carbon Aerobar + 10</v>
      </c>
      <c r="C59">
        <f t="shared" si="12"/>
        <v>490</v>
      </c>
      <c r="D59">
        <f t="shared" si="10"/>
        <v>460</v>
      </c>
      <c r="E59">
        <f t="shared" si="11"/>
        <v>540</v>
      </c>
      <c r="F59">
        <f>$G$4+'Data - DA'!D70</f>
        <v>650</v>
      </c>
      <c r="G59">
        <f t="shared" si="13"/>
        <v>650</v>
      </c>
      <c r="H59" t="str">
        <f>'Data - DA'!G70</f>
        <v xml:space="preserve">Aerobar Bolts: Top 50mm; Bottom N/A </v>
      </c>
    </row>
    <row r="60" spans="2:8" x14ac:dyDescent="0.25">
      <c r="B60" t="str">
        <f>TEXT($B$3,0) &amp;" ----- "&amp;'Data - DA'!B71</f>
        <v>Frame: 56 ----- Stem: 100x60  ----- Carbon Aerobar + 5 + 10</v>
      </c>
      <c r="C60">
        <f t="shared" si="12"/>
        <v>490</v>
      </c>
      <c r="D60">
        <f t="shared" si="10"/>
        <v>460</v>
      </c>
      <c r="E60">
        <f t="shared" si="11"/>
        <v>540</v>
      </c>
      <c r="F60">
        <f>$G$4+'Data - DA'!D71</f>
        <v>655</v>
      </c>
      <c r="G60">
        <f t="shared" si="13"/>
        <v>655</v>
      </c>
      <c r="H60" t="str">
        <f>'Data - DA'!G71</f>
        <v xml:space="preserve">Aerobar Bolts: Top 55mm; Bottom N/A </v>
      </c>
    </row>
    <row r="61" spans="2:8" x14ac:dyDescent="0.25">
      <c r="B61" t="str">
        <f>TEXT($B$3,0) &amp;" ----- "&amp;'Data - DA'!B72</f>
        <v>Frame: 56 ----- Stem: 100x60  ----- Carbon Aerobar + 20</v>
      </c>
      <c r="C61">
        <f t="shared" si="12"/>
        <v>490</v>
      </c>
      <c r="D61">
        <f t="shared" si="10"/>
        <v>460</v>
      </c>
      <c r="E61">
        <f t="shared" si="11"/>
        <v>540</v>
      </c>
      <c r="F61">
        <f>$G$4+'Data - DA'!D72</f>
        <v>660</v>
      </c>
      <c r="G61">
        <f t="shared" si="13"/>
        <v>660</v>
      </c>
      <c r="H61" t="str">
        <f>'Data - DA'!G72</f>
        <v xml:space="preserve">Aerobar Bolts: Top 20mm; Bottom 30mm </v>
      </c>
    </row>
    <row r="62" spans="2:8" x14ac:dyDescent="0.25">
      <c r="B62" t="str">
        <f>TEXT($B$3,0) &amp;" ----- "&amp;'Data - DA'!B73</f>
        <v>Frame: 56 ----- Stem: 100x60  ----- Carbon Aerobar + 20 + 5</v>
      </c>
      <c r="C62">
        <f t="shared" si="12"/>
        <v>490</v>
      </c>
      <c r="D62">
        <f t="shared" si="10"/>
        <v>460</v>
      </c>
      <c r="E62">
        <f t="shared" si="11"/>
        <v>540</v>
      </c>
      <c r="F62">
        <f>$G$4+'Data - DA'!D73</f>
        <v>665</v>
      </c>
      <c r="G62">
        <f t="shared" si="13"/>
        <v>665</v>
      </c>
      <c r="H62" t="str">
        <f>'Data - DA'!G73</f>
        <v xml:space="preserve">Aerobar Bolts: Top 25mm; Bottom 30mm </v>
      </c>
    </row>
    <row r="63" spans="2:8" x14ac:dyDescent="0.25">
      <c r="B63" t="str">
        <f>TEXT($B$3,0) &amp;" ----- "&amp;'Data - DA'!B74</f>
        <v>Frame: 56 ----- Stem: 100x60  ----- Carbon Aerobar + 20 + bridge</v>
      </c>
      <c r="C63">
        <f t="shared" si="12"/>
        <v>490</v>
      </c>
      <c r="D63">
        <f t="shared" si="10"/>
        <v>460</v>
      </c>
      <c r="E63">
        <f t="shared" si="11"/>
        <v>540</v>
      </c>
      <c r="F63">
        <f>$G$4+'Data - DA'!D74</f>
        <v>665</v>
      </c>
      <c r="G63">
        <f t="shared" si="13"/>
        <v>665</v>
      </c>
      <c r="H63" t="str">
        <f>'Data - DA'!G74</f>
        <v xml:space="preserve">Aerobar Bolts: Top 25mm; Bottom 30mm </v>
      </c>
    </row>
    <row r="64" spans="2:8" x14ac:dyDescent="0.25">
      <c r="B64" t="str">
        <f>TEXT($B$3,0) &amp;" ----- "&amp;'Data - DA'!B75</f>
        <v>Frame: 56 ----- Stem: 100x60  ----- Carbon Aerobar + 30</v>
      </c>
      <c r="C64">
        <f t="shared" si="12"/>
        <v>490</v>
      </c>
      <c r="D64">
        <f t="shared" si="10"/>
        <v>460</v>
      </c>
      <c r="E64">
        <f t="shared" si="11"/>
        <v>540</v>
      </c>
      <c r="F64">
        <f>$G$4+'Data - DA'!D75</f>
        <v>670</v>
      </c>
      <c r="G64">
        <f t="shared" si="13"/>
        <v>670</v>
      </c>
      <c r="H64" t="str">
        <f>'Data - DA'!G75</f>
        <v xml:space="preserve">Aerobar Bolts: Top 25mm; Bottom 30mm </v>
      </c>
    </row>
    <row r="65" spans="2:8" x14ac:dyDescent="0.25">
      <c r="B65" t="str">
        <f>TEXT($B$3,0) &amp;" ----- "&amp;'Data - DA'!B76</f>
        <v>Frame: 56 ----- Stem: 100x60  ----- Carbon Aerobar + 20 + bridge + 5</v>
      </c>
      <c r="C65">
        <f t="shared" si="12"/>
        <v>490</v>
      </c>
      <c r="D65">
        <f t="shared" si="10"/>
        <v>460</v>
      </c>
      <c r="E65">
        <f t="shared" si="11"/>
        <v>540</v>
      </c>
      <c r="F65">
        <f>$G$4+'Data - DA'!D76</f>
        <v>670</v>
      </c>
      <c r="G65">
        <f t="shared" si="13"/>
        <v>670</v>
      </c>
      <c r="H65" t="str">
        <f>'Data - DA'!G76</f>
        <v xml:space="preserve">Aerobar Bolts: Top 30mm; Bottom 30mm </v>
      </c>
    </row>
    <row r="66" spans="2:8" x14ac:dyDescent="0.25">
      <c r="B66" t="str">
        <f>TEXT($B$3,0) &amp;" ----- "&amp;'Data - DA'!B77</f>
        <v>Frame: 56 ----- Stem: 100x60  ----- Carbon Aerobar + 30 + bridge</v>
      </c>
      <c r="C66">
        <f t="shared" si="12"/>
        <v>490</v>
      </c>
      <c r="D66">
        <f t="shared" si="10"/>
        <v>460</v>
      </c>
      <c r="E66">
        <f t="shared" si="11"/>
        <v>540</v>
      </c>
      <c r="F66">
        <f>$G$4+'Data - DA'!D77</f>
        <v>675</v>
      </c>
      <c r="G66">
        <f t="shared" si="13"/>
        <v>675</v>
      </c>
      <c r="H66" t="str">
        <f>'Data - DA'!G77</f>
        <v xml:space="preserve">Aerobar Bolts: Top 30mm; Bottom 30mm </v>
      </c>
    </row>
    <row r="67" spans="2:8" x14ac:dyDescent="0.25">
      <c r="B67" t="str">
        <f>TEXT($B$3,0) &amp;" ----- "&amp;'Data - DA'!B78</f>
        <v>Frame: 56 ----- Stem: 100x60  ----- Carbon Aerobar + 30 + bridge + 5</v>
      </c>
      <c r="C67">
        <f t="shared" si="12"/>
        <v>490</v>
      </c>
      <c r="D67">
        <f t="shared" si="10"/>
        <v>460</v>
      </c>
      <c r="E67">
        <f t="shared" si="11"/>
        <v>540</v>
      </c>
      <c r="F67">
        <f>$G$4+'Data - DA'!D78</f>
        <v>680</v>
      </c>
      <c r="G67">
        <f t="shared" si="13"/>
        <v>680</v>
      </c>
      <c r="H67" t="str">
        <f>'Data - DA'!G78</f>
        <v xml:space="preserve">Aerobar Bolts: Top 35mm; Bottom 30mm </v>
      </c>
    </row>
    <row r="68" spans="2:8" x14ac:dyDescent="0.25">
      <c r="B68" t="str">
        <f>TEXT($B$3,0) &amp;" ----- "&amp;'Data - DA'!B79</f>
        <v>Frame: 56 ----- Stem: 100x60  ----- Carbon Aerobar + 40 + bridge</v>
      </c>
      <c r="C68">
        <f t="shared" si="12"/>
        <v>490</v>
      </c>
      <c r="D68">
        <f t="shared" si="10"/>
        <v>460</v>
      </c>
      <c r="E68">
        <f t="shared" si="11"/>
        <v>540</v>
      </c>
      <c r="F68">
        <f>$G$4+'Data - DA'!D79</f>
        <v>685</v>
      </c>
      <c r="G68">
        <f t="shared" si="13"/>
        <v>685</v>
      </c>
      <c r="H68" t="str">
        <f>'Data - DA'!G79</f>
        <v xml:space="preserve">Aerobar Bolts: Top 35mm; Bottom 30mm </v>
      </c>
    </row>
    <row r="69" spans="2:8" x14ac:dyDescent="0.25">
      <c r="B69" t="str">
        <f>TEXT($B$3,0) &amp;" ----- "&amp;'Data - DA'!B80</f>
        <v>Frame: 56 ----- Stem: 100x60  ----- Carbon Aerobar + 40 + bridge + 5</v>
      </c>
      <c r="C69">
        <f t="shared" si="12"/>
        <v>490</v>
      </c>
      <c r="D69">
        <f t="shared" si="10"/>
        <v>460</v>
      </c>
      <c r="E69">
        <f t="shared" si="11"/>
        <v>540</v>
      </c>
      <c r="F69">
        <f>$G$4+'Data - DA'!D80</f>
        <v>690</v>
      </c>
      <c r="G69">
        <f t="shared" si="13"/>
        <v>690</v>
      </c>
      <c r="H69" t="str">
        <f>'Data - DA'!G80</f>
        <v xml:space="preserve">Aerobar Bolts: Top 35mm; Bottom 30mm </v>
      </c>
    </row>
    <row r="70" spans="2:8" x14ac:dyDescent="0.25">
      <c r="B70" t="str">
        <f>TEXT($B$3,0) &amp;" ----- "&amp;'Data - DA'!B81</f>
        <v>Frame: 56 ----- Stem: 100x60  ----- Carbon Aerobar + 40 + bridge + 10</v>
      </c>
      <c r="C70">
        <f t="shared" si="12"/>
        <v>490</v>
      </c>
      <c r="D70">
        <f t="shared" si="10"/>
        <v>460</v>
      </c>
      <c r="E70">
        <f t="shared" si="11"/>
        <v>540</v>
      </c>
      <c r="F70">
        <f>$G$4+'Data - DA'!D81</f>
        <v>695</v>
      </c>
      <c r="G70">
        <f t="shared" si="13"/>
        <v>695</v>
      </c>
      <c r="H70" t="str">
        <f>'Data - DA'!G81</f>
        <v xml:space="preserve">Aerobar Bolts: Top 40mm; Bottom 30mm </v>
      </c>
    </row>
    <row r="71" spans="2:8" x14ac:dyDescent="0.25">
      <c r="B71" t="str">
        <f>TEXT($B$3,0) &amp;" ----- "&amp;'Data - DA'!B82</f>
        <v>Frame: 56 ----- Stem: 100x60  ----- Carbon Aerobar + 40 + bridge + 10 + 5</v>
      </c>
      <c r="C71">
        <f t="shared" si="12"/>
        <v>490</v>
      </c>
      <c r="D71">
        <f t="shared" si="10"/>
        <v>460</v>
      </c>
      <c r="E71">
        <f t="shared" si="11"/>
        <v>540</v>
      </c>
      <c r="F71">
        <f>$G$4+'Data - DA'!D82</f>
        <v>700</v>
      </c>
      <c r="G71">
        <f t="shared" si="13"/>
        <v>700</v>
      </c>
      <c r="H71" t="str">
        <f>'Data - DA'!G82</f>
        <v xml:space="preserve">Aerobar Bolts: Top 45mm; Bottom 30mm </v>
      </c>
    </row>
    <row r="72" spans="2:8" x14ac:dyDescent="0.25">
      <c r="B72" t="str">
        <f>TEXT($B$3,0) &amp;" ----- "&amp;'Data - DA'!B83</f>
        <v>Frame: 56 ----- Stem: 90x0  ----- Carbon Aerobar</v>
      </c>
      <c r="C72">
        <f>$O$8</f>
        <v>495</v>
      </c>
      <c r="D72">
        <f t="shared" ref="D72:D86" si="14">$O$9</f>
        <v>465</v>
      </c>
      <c r="E72">
        <f t="shared" ref="E72:E86" si="15">$O$10</f>
        <v>545</v>
      </c>
      <c r="G72">
        <f t="shared" ref="G72:G101" si="16">ROUND(F72/5,0)*5</f>
        <v>0</v>
      </c>
      <c r="H72" t="str">
        <f>'Data - DA'!G83</f>
        <v xml:space="preserve">Aerobar Bolts: Top N/A; Bottom N/A </v>
      </c>
    </row>
    <row r="73" spans="2:8" x14ac:dyDescent="0.25">
      <c r="B73" t="str">
        <f>TEXT($B$3,0) &amp;" ----- "&amp;'Data - DA'!B84</f>
        <v>Frame: 56 ----- Stem: 90x0  ----- Carbon Aerobar + 5</v>
      </c>
      <c r="C73">
        <f t="shared" ref="C73:C86" si="17">$O$8</f>
        <v>495</v>
      </c>
      <c r="D73">
        <f t="shared" si="14"/>
        <v>465</v>
      </c>
      <c r="E73">
        <f t="shared" si="15"/>
        <v>545</v>
      </c>
      <c r="F73">
        <f>$G$4+'Data - DA'!D84</f>
        <v>583</v>
      </c>
      <c r="G73">
        <f t="shared" si="16"/>
        <v>585</v>
      </c>
      <c r="H73" t="str">
        <f>'Data - DA'!G84</f>
        <v xml:space="preserve">Aerobar Bolts: Top 45mm; Bottom N/A </v>
      </c>
    </row>
    <row r="74" spans="2:8" x14ac:dyDescent="0.25">
      <c r="B74" t="str">
        <f>TEXT($B$3,0) &amp;" ----- "&amp;'Data - DA'!B85</f>
        <v>Frame: 56 ----- Stem: 90x0  ----- Carbon Aerobar + 10</v>
      </c>
      <c r="C74">
        <f t="shared" si="17"/>
        <v>495</v>
      </c>
      <c r="D74">
        <f t="shared" si="14"/>
        <v>465</v>
      </c>
      <c r="E74">
        <f t="shared" si="15"/>
        <v>545</v>
      </c>
      <c r="F74">
        <f>$G$4+'Data - DA'!D85</f>
        <v>588</v>
      </c>
      <c r="G74">
        <f t="shared" si="16"/>
        <v>590</v>
      </c>
      <c r="H74" t="str">
        <f>'Data - DA'!G85</f>
        <v xml:space="preserve">Aerobar Bolts: Top 50mm; Bottom N/A </v>
      </c>
    </row>
    <row r="75" spans="2:8" x14ac:dyDescent="0.25">
      <c r="B75" t="str">
        <f>TEXT($B$3,0) &amp;" ----- "&amp;'Data - DA'!B86</f>
        <v>Frame: 56 ----- Stem: 90x0  ----- Carbon Aerobar + 5 + 10</v>
      </c>
      <c r="C75">
        <f t="shared" si="17"/>
        <v>495</v>
      </c>
      <c r="D75">
        <f t="shared" si="14"/>
        <v>465</v>
      </c>
      <c r="E75">
        <f t="shared" si="15"/>
        <v>545</v>
      </c>
      <c r="F75">
        <f>$G$4+'Data - DA'!D86</f>
        <v>593</v>
      </c>
      <c r="G75">
        <f t="shared" si="16"/>
        <v>595</v>
      </c>
      <c r="H75" t="str">
        <f>'Data - DA'!G86</f>
        <v xml:space="preserve">Aerobar Bolts: Top 55mm; Bottom N/A </v>
      </c>
    </row>
    <row r="76" spans="2:8" x14ac:dyDescent="0.25">
      <c r="B76" t="str">
        <f>TEXT($B$3,0) &amp;" ----- "&amp;'Data - DA'!B87</f>
        <v>Frame: 56 ----- Stem: 90x0  ----- Carbon Aerobar + 20</v>
      </c>
      <c r="C76">
        <f t="shared" si="17"/>
        <v>495</v>
      </c>
      <c r="D76">
        <f t="shared" si="14"/>
        <v>465</v>
      </c>
      <c r="E76">
        <f t="shared" si="15"/>
        <v>545</v>
      </c>
      <c r="F76">
        <f>$G$4+'Data - DA'!D87</f>
        <v>598</v>
      </c>
      <c r="G76">
        <f t="shared" si="16"/>
        <v>600</v>
      </c>
      <c r="H76" t="str">
        <f>'Data - DA'!G87</f>
        <v xml:space="preserve">Aerobar Bolts: Top 20mm; Bottom 30mm </v>
      </c>
    </row>
    <row r="77" spans="2:8" x14ac:dyDescent="0.25">
      <c r="B77" t="str">
        <f>TEXT($B$3,0) &amp;" ----- "&amp;'Data - DA'!B88</f>
        <v>Frame: 56 ----- Stem: 90x0  ----- Carbon Aerobar + 20 + 5</v>
      </c>
      <c r="C77">
        <f t="shared" si="17"/>
        <v>495</v>
      </c>
      <c r="D77">
        <f t="shared" si="14"/>
        <v>465</v>
      </c>
      <c r="E77">
        <f t="shared" si="15"/>
        <v>545</v>
      </c>
      <c r="F77">
        <f>$G$4+'Data - DA'!D88</f>
        <v>603</v>
      </c>
      <c r="G77">
        <f t="shared" si="16"/>
        <v>605</v>
      </c>
      <c r="H77" t="str">
        <f>'Data - DA'!G88</f>
        <v xml:space="preserve">Aerobar Bolts: Top 25mm; Bottom 30mm </v>
      </c>
    </row>
    <row r="78" spans="2:8" x14ac:dyDescent="0.25">
      <c r="B78" t="str">
        <f>TEXT($B$3,0) &amp;" ----- "&amp;'Data - DA'!B89</f>
        <v>Frame: 56 ----- Stem: 90x0  ----- Carbon Aerobar + 20 + bridge</v>
      </c>
      <c r="C78">
        <f t="shared" si="17"/>
        <v>495</v>
      </c>
      <c r="D78">
        <f t="shared" si="14"/>
        <v>465</v>
      </c>
      <c r="E78">
        <f t="shared" si="15"/>
        <v>545</v>
      </c>
      <c r="F78">
        <f>$G$4+'Data - DA'!D89</f>
        <v>603</v>
      </c>
      <c r="G78">
        <f t="shared" si="16"/>
        <v>605</v>
      </c>
      <c r="H78" t="str">
        <f>'Data - DA'!G89</f>
        <v xml:space="preserve">Aerobar Bolts: Top 25mm; Bottom 30mm </v>
      </c>
    </row>
    <row r="79" spans="2:8" x14ac:dyDescent="0.25">
      <c r="B79" t="str">
        <f>TEXT($B$3,0) &amp;" ----- "&amp;'Data - DA'!B90</f>
        <v>Frame: 56 ----- Stem: 90x0  ----- Carbon Aerobar + 30</v>
      </c>
      <c r="C79">
        <f t="shared" si="17"/>
        <v>495</v>
      </c>
      <c r="D79">
        <f t="shared" si="14"/>
        <v>465</v>
      </c>
      <c r="E79">
        <f t="shared" si="15"/>
        <v>545</v>
      </c>
      <c r="F79">
        <f>$G$4+'Data - DA'!D90</f>
        <v>608</v>
      </c>
      <c r="G79">
        <f t="shared" si="16"/>
        <v>610</v>
      </c>
      <c r="H79" t="str">
        <f>'Data - DA'!G90</f>
        <v xml:space="preserve">Aerobar Bolts: Top 25mm; Bottom 30mm </v>
      </c>
    </row>
    <row r="80" spans="2:8" x14ac:dyDescent="0.25">
      <c r="B80" t="str">
        <f>TEXT($B$3,0) &amp;" ----- "&amp;'Data - DA'!B91</f>
        <v>Frame: 56 ----- Stem: 90x0  ----- Carbon Aerobar + 20 + bridge + 5</v>
      </c>
      <c r="C80">
        <f t="shared" si="17"/>
        <v>495</v>
      </c>
      <c r="D80">
        <f t="shared" si="14"/>
        <v>465</v>
      </c>
      <c r="E80">
        <f t="shared" si="15"/>
        <v>545</v>
      </c>
      <c r="F80">
        <f>$G$4+'Data - DA'!D91</f>
        <v>608</v>
      </c>
      <c r="G80">
        <f t="shared" si="16"/>
        <v>610</v>
      </c>
      <c r="H80" t="str">
        <f>'Data - DA'!G91</f>
        <v xml:space="preserve">Aerobar Bolts: Top 30mm; Bottom 30mm </v>
      </c>
    </row>
    <row r="81" spans="2:8" x14ac:dyDescent="0.25">
      <c r="B81" t="str">
        <f>TEXT($B$3,0) &amp;" ----- "&amp;'Data - DA'!B92</f>
        <v>Frame: 56 ----- Stem: 90x0  ----- Carbon Aerobar + 30 + bridge</v>
      </c>
      <c r="C81">
        <f t="shared" si="17"/>
        <v>495</v>
      </c>
      <c r="D81">
        <f t="shared" si="14"/>
        <v>465</v>
      </c>
      <c r="E81">
        <f t="shared" si="15"/>
        <v>545</v>
      </c>
      <c r="F81">
        <f>$G$4+'Data - DA'!D92</f>
        <v>613</v>
      </c>
      <c r="G81">
        <f t="shared" si="16"/>
        <v>615</v>
      </c>
      <c r="H81" t="str">
        <f>'Data - DA'!G92</f>
        <v xml:space="preserve">Aerobar Bolts: Top 30mm; Bottom 30mm </v>
      </c>
    </row>
    <row r="82" spans="2:8" x14ac:dyDescent="0.25">
      <c r="B82" t="str">
        <f>TEXT($B$3,0) &amp;" ----- "&amp;'Data - DA'!B93</f>
        <v>Frame: 56 ----- Stem: 90x0  ----- Carbon Aerobar + 30 + bridge + 5</v>
      </c>
      <c r="C82">
        <f t="shared" si="17"/>
        <v>495</v>
      </c>
      <c r="D82">
        <f t="shared" si="14"/>
        <v>465</v>
      </c>
      <c r="E82">
        <f t="shared" si="15"/>
        <v>545</v>
      </c>
      <c r="F82">
        <f>$G$4+'Data - DA'!D93</f>
        <v>618</v>
      </c>
      <c r="G82">
        <f t="shared" si="16"/>
        <v>620</v>
      </c>
      <c r="H82" t="str">
        <f>'Data - DA'!G93</f>
        <v xml:space="preserve">Aerobar Bolts: Top 35mm; Bottom 30mm </v>
      </c>
    </row>
    <row r="83" spans="2:8" x14ac:dyDescent="0.25">
      <c r="B83" t="str">
        <f>TEXT($B$3,0) &amp;" ----- "&amp;'Data - DA'!B94</f>
        <v>Frame: 56 ----- Stem: 90x0  ----- Carbon Aerobar + 40 + bridge</v>
      </c>
      <c r="C83">
        <f t="shared" si="17"/>
        <v>495</v>
      </c>
      <c r="D83">
        <f t="shared" si="14"/>
        <v>465</v>
      </c>
      <c r="E83">
        <f t="shared" si="15"/>
        <v>545</v>
      </c>
      <c r="F83">
        <f>$G$4+'Data - DA'!D94</f>
        <v>623</v>
      </c>
      <c r="G83">
        <f t="shared" si="16"/>
        <v>625</v>
      </c>
      <c r="H83" t="str">
        <f>'Data - DA'!G94</f>
        <v xml:space="preserve">Aerobar Bolts: Top 35mm; Bottom 30mm </v>
      </c>
    </row>
    <row r="84" spans="2:8" x14ac:dyDescent="0.25">
      <c r="B84" t="str">
        <f>TEXT($B$3,0) &amp;" ----- "&amp;'Data - DA'!B95</f>
        <v>Frame: 56 ----- Stem: 90x0  ----- Carbon Aerobar + 40 + bridge + 5</v>
      </c>
      <c r="C84">
        <f t="shared" si="17"/>
        <v>495</v>
      </c>
      <c r="D84">
        <f t="shared" si="14"/>
        <v>465</v>
      </c>
      <c r="E84">
        <f t="shared" si="15"/>
        <v>545</v>
      </c>
      <c r="F84">
        <f>$G$4+'Data - DA'!D95</f>
        <v>628</v>
      </c>
      <c r="G84">
        <f t="shared" si="16"/>
        <v>630</v>
      </c>
      <c r="H84" t="str">
        <f>'Data - DA'!G95</f>
        <v xml:space="preserve">Aerobar Bolts: Top 35mm; Bottom 30mm </v>
      </c>
    </row>
    <row r="85" spans="2:8" x14ac:dyDescent="0.25">
      <c r="B85" t="str">
        <f>TEXT($B$3,0) &amp;" ----- "&amp;'Data - DA'!B96</f>
        <v>Frame: 56 ----- Stem: 90x0  ----- Carbon Aerobar + 40 + bridge + 10</v>
      </c>
      <c r="C85">
        <f t="shared" si="17"/>
        <v>495</v>
      </c>
      <c r="D85">
        <f t="shared" si="14"/>
        <v>465</v>
      </c>
      <c r="E85">
        <f t="shared" si="15"/>
        <v>545</v>
      </c>
      <c r="F85">
        <f>$G$4+'Data - DA'!D96</f>
        <v>633</v>
      </c>
      <c r="G85">
        <f t="shared" si="16"/>
        <v>635</v>
      </c>
      <c r="H85" t="str">
        <f>'Data - DA'!G96</f>
        <v xml:space="preserve">Aerobar Bolts: Top 40mm; Bottom 30mm </v>
      </c>
    </row>
    <row r="86" spans="2:8" x14ac:dyDescent="0.25">
      <c r="B86" t="str">
        <f>TEXT($B$3,0) &amp;" ----- "&amp;'Data - DA'!B97</f>
        <v>Frame: 56 ----- Stem: 90x0  ----- Carbon Aerobar + 40 + bridge + 10 + 5</v>
      </c>
      <c r="C86">
        <f t="shared" si="17"/>
        <v>495</v>
      </c>
      <c r="D86">
        <f t="shared" si="14"/>
        <v>465</v>
      </c>
      <c r="E86">
        <f t="shared" si="15"/>
        <v>545</v>
      </c>
      <c r="F86">
        <f>$G$4+'Data - DA'!D97</f>
        <v>638</v>
      </c>
      <c r="G86">
        <f t="shared" si="16"/>
        <v>640</v>
      </c>
      <c r="H86" t="str">
        <f>'Data - DA'!G97</f>
        <v xml:space="preserve">Aerobar Bolts: Top 45mm; Bottom 30mm </v>
      </c>
    </row>
    <row r="87" spans="2:8" x14ac:dyDescent="0.25">
      <c r="B87" t="str">
        <f>TEXT($B$3,0) &amp;" ----- "&amp;'Data - DA'!B98</f>
        <v>Frame: 56 ----- Stem: 110x0  ----- Carbon Aerobar</v>
      </c>
      <c r="C87">
        <f>$P$8</f>
        <v>515</v>
      </c>
      <c r="D87">
        <f t="shared" ref="D87:D101" si="18">$P$9</f>
        <v>485</v>
      </c>
      <c r="E87">
        <f t="shared" ref="E87:E101" si="19">$P$10</f>
        <v>565</v>
      </c>
      <c r="G87">
        <f t="shared" si="16"/>
        <v>0</v>
      </c>
      <c r="H87" t="str">
        <f>'Data - DA'!G98</f>
        <v xml:space="preserve">Aerobar Bolts: Top N/A; Bottom N/A </v>
      </c>
    </row>
    <row r="88" spans="2:8" x14ac:dyDescent="0.25">
      <c r="B88" t="str">
        <f>TEXT($B$3,0) &amp;" ----- "&amp;'Data - DA'!B99</f>
        <v>Frame: 56 ----- Stem: 110x0  ----- Carbon Aerobar + 5</v>
      </c>
      <c r="C88">
        <f t="shared" ref="C88:C101" si="20">$P$8</f>
        <v>515</v>
      </c>
      <c r="D88">
        <f t="shared" si="18"/>
        <v>485</v>
      </c>
      <c r="E88">
        <f t="shared" si="19"/>
        <v>565</v>
      </c>
      <c r="F88">
        <f>$G$4+'Data - DA'!D99</f>
        <v>583</v>
      </c>
      <c r="G88">
        <f t="shared" si="16"/>
        <v>585</v>
      </c>
      <c r="H88" t="str">
        <f>'Data - DA'!G99</f>
        <v xml:space="preserve">Aerobar Bolts: Top 45mm; Bottom N/A </v>
      </c>
    </row>
    <row r="89" spans="2:8" x14ac:dyDescent="0.25">
      <c r="B89" t="str">
        <f>TEXT($B$3,0) &amp;" ----- "&amp;'Data - DA'!B100</f>
        <v>Frame: 56 ----- Stem: 110x0  ----- Carbon Aerobar + 10</v>
      </c>
      <c r="C89">
        <f t="shared" si="20"/>
        <v>515</v>
      </c>
      <c r="D89">
        <f t="shared" si="18"/>
        <v>485</v>
      </c>
      <c r="E89">
        <f t="shared" si="19"/>
        <v>565</v>
      </c>
      <c r="F89">
        <f>$G$4+'Data - DA'!D100</f>
        <v>588</v>
      </c>
      <c r="G89">
        <f t="shared" si="16"/>
        <v>590</v>
      </c>
      <c r="H89" t="str">
        <f>'Data - DA'!G100</f>
        <v xml:space="preserve">Aerobar Bolts: Top 50mm; Bottom N/A </v>
      </c>
    </row>
    <row r="90" spans="2:8" x14ac:dyDescent="0.25">
      <c r="B90" t="str">
        <f>TEXT($B$3,0) &amp;" ----- "&amp;'Data - DA'!B101</f>
        <v>Frame: 56 ----- Stem: 110x0  ----- Carbon Aerobar + 5 + 10</v>
      </c>
      <c r="C90">
        <f t="shared" si="20"/>
        <v>515</v>
      </c>
      <c r="D90">
        <f t="shared" si="18"/>
        <v>485</v>
      </c>
      <c r="E90">
        <f t="shared" si="19"/>
        <v>565</v>
      </c>
      <c r="F90">
        <f>$G$4+'Data - DA'!D101</f>
        <v>593</v>
      </c>
      <c r="G90">
        <f t="shared" si="16"/>
        <v>595</v>
      </c>
      <c r="H90" t="str">
        <f>'Data - DA'!G101</f>
        <v xml:space="preserve">Aerobar Bolts: Top 55mm; Bottom N/A </v>
      </c>
    </row>
    <row r="91" spans="2:8" x14ac:dyDescent="0.25">
      <c r="B91" t="str">
        <f>TEXT($B$3,0) &amp;" ----- "&amp;'Data - DA'!B102</f>
        <v>Frame: 56 ----- Stem: 110x0  ----- Carbon Aerobar + 20</v>
      </c>
      <c r="C91">
        <f t="shared" si="20"/>
        <v>515</v>
      </c>
      <c r="D91">
        <f t="shared" si="18"/>
        <v>485</v>
      </c>
      <c r="E91">
        <f t="shared" si="19"/>
        <v>565</v>
      </c>
      <c r="F91">
        <f>$G$4+'Data - DA'!D102</f>
        <v>599</v>
      </c>
      <c r="G91">
        <f t="shared" si="16"/>
        <v>600</v>
      </c>
      <c r="H91" t="str">
        <f>'Data - DA'!G102</f>
        <v xml:space="preserve">Aerobar Bolts: Top 20mm; Bottom 30mm </v>
      </c>
    </row>
    <row r="92" spans="2:8" x14ac:dyDescent="0.25">
      <c r="B92" t="str">
        <f>TEXT($B$3,0) &amp;" ----- "&amp;'Data - DA'!B103</f>
        <v>Frame: 56 ----- Stem: 110x0  ----- Carbon Aerobar + 20 + 5</v>
      </c>
      <c r="C92">
        <f t="shared" si="20"/>
        <v>515</v>
      </c>
      <c r="D92">
        <f t="shared" si="18"/>
        <v>485</v>
      </c>
      <c r="E92">
        <f t="shared" si="19"/>
        <v>565</v>
      </c>
      <c r="F92">
        <f>$G$4+'Data - DA'!D103</f>
        <v>603</v>
      </c>
      <c r="G92">
        <f t="shared" si="16"/>
        <v>605</v>
      </c>
      <c r="H92" t="str">
        <f>'Data - DA'!G103</f>
        <v xml:space="preserve">Aerobar Bolts: Top 25mm; Bottom 30mm </v>
      </c>
    </row>
    <row r="93" spans="2:8" x14ac:dyDescent="0.25">
      <c r="B93" t="str">
        <f>TEXT($B$3,0) &amp;" ----- "&amp;'Data - DA'!B104</f>
        <v>Frame: 56 ----- Stem: 110x0  ----- Carbon Aerobar + 20 + bridge</v>
      </c>
      <c r="C93">
        <f t="shared" si="20"/>
        <v>515</v>
      </c>
      <c r="D93">
        <f t="shared" si="18"/>
        <v>485</v>
      </c>
      <c r="E93">
        <f t="shared" si="19"/>
        <v>565</v>
      </c>
      <c r="F93">
        <f>$G$4+'Data - DA'!D104</f>
        <v>603</v>
      </c>
      <c r="G93">
        <f t="shared" si="16"/>
        <v>605</v>
      </c>
      <c r="H93" t="str">
        <f>'Data - DA'!G104</f>
        <v xml:space="preserve">Aerobar Bolts: Top 25mm; Bottom 30mm </v>
      </c>
    </row>
    <row r="94" spans="2:8" x14ac:dyDescent="0.25">
      <c r="B94" t="str">
        <f>TEXT($B$3,0) &amp;" ----- "&amp;'Data - DA'!B105</f>
        <v>Frame: 56 ----- Stem: 110x0  ----- Carbon Aerobar + 30</v>
      </c>
      <c r="C94">
        <f t="shared" si="20"/>
        <v>515</v>
      </c>
      <c r="D94">
        <f t="shared" si="18"/>
        <v>485</v>
      </c>
      <c r="E94">
        <f t="shared" si="19"/>
        <v>565</v>
      </c>
      <c r="F94">
        <f>$G$4+'Data - DA'!D105</f>
        <v>608</v>
      </c>
      <c r="G94">
        <f t="shared" si="16"/>
        <v>610</v>
      </c>
      <c r="H94" t="str">
        <f>'Data - DA'!G105</f>
        <v xml:space="preserve">Aerobar Bolts: Top 25mm; Bottom 30mm </v>
      </c>
    </row>
    <row r="95" spans="2:8" x14ac:dyDescent="0.25">
      <c r="B95" t="str">
        <f>TEXT($B$3,0) &amp;" ----- "&amp;'Data - DA'!B106</f>
        <v>Frame: 56 ----- Stem: 110x0  ----- Carbon Aerobar + 20 + bridge + 5</v>
      </c>
      <c r="C95">
        <f t="shared" si="20"/>
        <v>515</v>
      </c>
      <c r="D95">
        <f t="shared" si="18"/>
        <v>485</v>
      </c>
      <c r="E95">
        <f t="shared" si="19"/>
        <v>565</v>
      </c>
      <c r="F95">
        <f>$G$4+'Data - DA'!D106</f>
        <v>608</v>
      </c>
      <c r="G95">
        <f t="shared" si="16"/>
        <v>610</v>
      </c>
      <c r="H95" t="str">
        <f>'Data - DA'!G106</f>
        <v xml:space="preserve">Aerobar Bolts: Top 30mm; Bottom 30mm </v>
      </c>
    </row>
    <row r="96" spans="2:8" x14ac:dyDescent="0.25">
      <c r="B96" t="str">
        <f>TEXT($B$3,0) &amp;" ----- "&amp;'Data - DA'!B107</f>
        <v>Frame: 56 ----- Stem: 110x0  ----- Carbon Aerobar + 30 + bridge</v>
      </c>
      <c r="C96">
        <f t="shared" si="20"/>
        <v>515</v>
      </c>
      <c r="D96">
        <f t="shared" si="18"/>
        <v>485</v>
      </c>
      <c r="E96">
        <f t="shared" si="19"/>
        <v>565</v>
      </c>
      <c r="F96">
        <f>$G$4+'Data - DA'!D107</f>
        <v>613</v>
      </c>
      <c r="G96">
        <f t="shared" si="16"/>
        <v>615</v>
      </c>
      <c r="H96" t="str">
        <f>'Data - DA'!G107</f>
        <v xml:space="preserve">Aerobar Bolts: Top 30mm; Bottom 30mm </v>
      </c>
    </row>
    <row r="97" spans="2:8" x14ac:dyDescent="0.25">
      <c r="B97" t="str">
        <f>TEXT($B$3,0) &amp;" ----- "&amp;'Data - DA'!B108</f>
        <v>Frame: 56 ----- Stem: 110x0  ----- Carbon Aerobar + 30 + bridge + 5</v>
      </c>
      <c r="C97">
        <f t="shared" si="20"/>
        <v>515</v>
      </c>
      <c r="D97">
        <f t="shared" si="18"/>
        <v>485</v>
      </c>
      <c r="E97">
        <f t="shared" si="19"/>
        <v>565</v>
      </c>
      <c r="F97">
        <f>$G$4+'Data - DA'!D108</f>
        <v>618</v>
      </c>
      <c r="G97">
        <f t="shared" si="16"/>
        <v>620</v>
      </c>
      <c r="H97" t="str">
        <f>'Data - DA'!G108</f>
        <v xml:space="preserve">Aerobar Bolts: Top 35mm; Bottom 30mm </v>
      </c>
    </row>
    <row r="98" spans="2:8" x14ac:dyDescent="0.25">
      <c r="B98" t="str">
        <f>TEXT($B$3,0) &amp;" ----- "&amp;'Data - DA'!B109</f>
        <v>Frame: 56 ----- Stem: 110x0  ----- Carbon Aerobar + 40 + bridge</v>
      </c>
      <c r="C98">
        <f t="shared" si="20"/>
        <v>515</v>
      </c>
      <c r="D98">
        <f t="shared" si="18"/>
        <v>485</v>
      </c>
      <c r="E98">
        <f t="shared" si="19"/>
        <v>565</v>
      </c>
      <c r="F98">
        <f>$G$4+'Data - DA'!D109</f>
        <v>623</v>
      </c>
      <c r="G98">
        <f t="shared" si="16"/>
        <v>625</v>
      </c>
      <c r="H98" t="str">
        <f>'Data - DA'!G109</f>
        <v xml:space="preserve">Aerobar Bolts: Top 35mm; Bottom 30mm </v>
      </c>
    </row>
    <row r="99" spans="2:8" x14ac:dyDescent="0.25">
      <c r="B99" t="str">
        <f>TEXT($B$3,0) &amp;" ----- "&amp;'Data - DA'!B110</f>
        <v>Frame: 56 ----- Stem: 110x0  ----- Carbon Aerobar + 40 + bridge + 5</v>
      </c>
      <c r="C99">
        <f t="shared" si="20"/>
        <v>515</v>
      </c>
      <c r="D99">
        <f t="shared" si="18"/>
        <v>485</v>
      </c>
      <c r="E99">
        <f t="shared" si="19"/>
        <v>565</v>
      </c>
      <c r="F99">
        <f>$G$4+'Data - DA'!D110</f>
        <v>628</v>
      </c>
      <c r="G99">
        <f t="shared" si="16"/>
        <v>630</v>
      </c>
      <c r="H99" t="str">
        <f>'Data - DA'!G110</f>
        <v xml:space="preserve">Aerobar Bolts: Top 35mm; Bottom 30mm </v>
      </c>
    </row>
    <row r="100" spans="2:8" x14ac:dyDescent="0.25">
      <c r="B100" t="str">
        <f>TEXT($B$3,0) &amp;" ----- "&amp;'Data - DA'!B111</f>
        <v>Frame: 56 ----- Stem: 110x0  ----- Carbon Aerobar + 40 + bridge + 10</v>
      </c>
      <c r="C100">
        <f t="shared" si="20"/>
        <v>515</v>
      </c>
      <c r="D100">
        <f t="shared" si="18"/>
        <v>485</v>
      </c>
      <c r="E100">
        <f t="shared" si="19"/>
        <v>565</v>
      </c>
      <c r="F100">
        <f>$G$4+'Data - DA'!D111</f>
        <v>633</v>
      </c>
      <c r="G100">
        <f t="shared" si="16"/>
        <v>635</v>
      </c>
      <c r="H100" t="str">
        <f>'Data - DA'!G111</f>
        <v xml:space="preserve">Aerobar Bolts: Top 40mm; Bottom 30mm </v>
      </c>
    </row>
    <row r="101" spans="2:8" x14ac:dyDescent="0.25">
      <c r="B101" t="str">
        <f>TEXT($B$3,0) &amp;" ----- "&amp;'Data - DA'!B112</f>
        <v>Frame: 56 ----- Stem: 110x0  ----- Carbon Aerobar + 40 + bridge + 10 + 5</v>
      </c>
      <c r="C101">
        <f t="shared" si="20"/>
        <v>515</v>
      </c>
      <c r="D101">
        <f t="shared" si="18"/>
        <v>485</v>
      </c>
      <c r="E101">
        <f t="shared" si="19"/>
        <v>565</v>
      </c>
      <c r="F101">
        <f>$G$4+'Data - DA'!D112</f>
        <v>638</v>
      </c>
      <c r="G101">
        <f t="shared" si="16"/>
        <v>640</v>
      </c>
      <c r="H101" t="str">
        <f>'Data - DA'!G112</f>
        <v xml:space="preserve">Aerobar Bolts: Top 45mm; Bottom 30mm </v>
      </c>
    </row>
    <row r="102" spans="2:8" x14ac:dyDescent="0.25">
      <c r="B102" t="str">
        <f>TEXT($B$3,0) &amp;" ----- "&amp;'Data - DA'!B113</f>
        <v>Frame: 56 ----- Stem: 70x30  ----- Aluminium Aerobar</v>
      </c>
      <c r="C102">
        <f>$K$8</f>
        <v>470</v>
      </c>
      <c r="D102">
        <f t="shared" ref="D102:D116" si="21">$K$9</f>
        <v>440</v>
      </c>
      <c r="E102">
        <f t="shared" ref="E102:E116" si="22">$K$10</f>
        <v>520</v>
      </c>
      <c r="F102">
        <f>$G$4+'Data - DA'!D113</f>
        <v>624</v>
      </c>
      <c r="G102">
        <f t="shared" si="13"/>
        <v>625</v>
      </c>
      <c r="H102" t="str">
        <f>'Data - DA'!G113</f>
        <v xml:space="preserve">Aerobar Bolts: Top 20mm; Bottom N/A </v>
      </c>
    </row>
    <row r="103" spans="2:8" x14ac:dyDescent="0.25">
      <c r="B103" t="str">
        <f>TEXT($B$3,0) &amp;" ----- "&amp;'Data - DA'!B114</f>
        <v>Frame: 56 ----- Stem: 70x30  ----- Aluminium Aerobar + 5</v>
      </c>
      <c r="C103">
        <f t="shared" ref="C103:C116" si="23">$K$8</f>
        <v>470</v>
      </c>
      <c r="D103">
        <f t="shared" si="21"/>
        <v>440</v>
      </c>
      <c r="E103">
        <f t="shared" si="22"/>
        <v>520</v>
      </c>
      <c r="F103">
        <f>$G$4+'Data - DA'!D114</f>
        <v>629</v>
      </c>
      <c r="G103">
        <f t="shared" si="13"/>
        <v>630</v>
      </c>
      <c r="H103" t="str">
        <f>'Data - DA'!G114</f>
        <v xml:space="preserve">Aerobar Bolts: Top 25mm; Bottom N/A </v>
      </c>
    </row>
    <row r="104" spans="2:8" x14ac:dyDescent="0.25">
      <c r="B104" t="str">
        <f>TEXT($B$3,0) &amp;" ----- "&amp;'Data - DA'!B115</f>
        <v>Frame: 56 ----- Stem: 70x30  ----- Aluminium Aerobar + 10</v>
      </c>
      <c r="C104">
        <f t="shared" si="23"/>
        <v>470</v>
      </c>
      <c r="D104">
        <f t="shared" si="21"/>
        <v>440</v>
      </c>
      <c r="E104">
        <f t="shared" si="22"/>
        <v>520</v>
      </c>
      <c r="F104">
        <f>$G$4+'Data - DA'!D115</f>
        <v>634</v>
      </c>
      <c r="G104">
        <f t="shared" si="13"/>
        <v>635</v>
      </c>
      <c r="H104" t="str">
        <f>'Data - DA'!G115</f>
        <v xml:space="preserve">Aerobar Bolts: Top 30mm; Bottom N/A </v>
      </c>
    </row>
    <row r="105" spans="2:8" x14ac:dyDescent="0.25">
      <c r="B105" t="str">
        <f>TEXT($B$3,0) &amp;" ----- "&amp;'Data - DA'!B116</f>
        <v>Frame: 56 ----- Stem: 70x30  ----- Aluminium Aerobar + 5 + 10</v>
      </c>
      <c r="C105">
        <f t="shared" si="23"/>
        <v>470</v>
      </c>
      <c r="D105">
        <f t="shared" si="21"/>
        <v>440</v>
      </c>
      <c r="E105">
        <f t="shared" si="22"/>
        <v>520</v>
      </c>
      <c r="F105">
        <f>$G$4+'Data - DA'!D116</f>
        <v>639</v>
      </c>
      <c r="G105">
        <f t="shared" si="13"/>
        <v>640</v>
      </c>
      <c r="H105" t="str">
        <f>'Data - DA'!G116</f>
        <v xml:space="preserve">Aerobar Bolts: Top 35mm; Bottom N/A </v>
      </c>
    </row>
    <row r="106" spans="2:8" x14ac:dyDescent="0.25">
      <c r="B106" t="str">
        <f>TEXT($B$3,0) &amp;" ----- "&amp;'Data - DA'!B117</f>
        <v>Frame: 56 ----- Stem: 70x30  ----- Aluminium Aerobar + 20</v>
      </c>
      <c r="C106">
        <f t="shared" si="23"/>
        <v>470</v>
      </c>
      <c r="D106">
        <f t="shared" si="21"/>
        <v>440</v>
      </c>
      <c r="E106">
        <f t="shared" si="22"/>
        <v>520</v>
      </c>
      <c r="F106">
        <f>$G$4+'Data - DA'!D117</f>
        <v>644</v>
      </c>
      <c r="G106">
        <f t="shared" si="13"/>
        <v>645</v>
      </c>
      <c r="H106" t="str">
        <f>'Data - DA'!G117</f>
        <v xml:space="preserve">Aerobar Bolts: Top 20mm; Bottom 15mm </v>
      </c>
    </row>
    <row r="107" spans="2:8" x14ac:dyDescent="0.25">
      <c r="B107" t="str">
        <f>TEXT($B$3,0) &amp;" ----- "&amp;'Data - DA'!B118</f>
        <v>Frame: 56 ----- Stem: 70x30  ----- Aluminium Aerobar + 20 + 5</v>
      </c>
      <c r="C107">
        <f t="shared" si="23"/>
        <v>470</v>
      </c>
      <c r="D107">
        <f t="shared" si="21"/>
        <v>440</v>
      </c>
      <c r="E107">
        <f t="shared" si="22"/>
        <v>520</v>
      </c>
      <c r="F107">
        <f>$G$4+'Data - DA'!D118</f>
        <v>649</v>
      </c>
      <c r="G107">
        <f t="shared" si="13"/>
        <v>650</v>
      </c>
      <c r="H107" t="str">
        <f>'Data - DA'!G118</f>
        <v xml:space="preserve">Aerobar Bolts: Top 25mm; Bottom 15mm </v>
      </c>
    </row>
    <row r="108" spans="2:8" x14ac:dyDescent="0.25">
      <c r="B108" t="str">
        <f>TEXT($B$3,0) &amp;" ----- "&amp;'Data - DA'!B119</f>
        <v>Frame: 56 ----- Stem: 70x30  ----- Aluminium Aerobar + 20 + bridge</v>
      </c>
      <c r="C108">
        <f t="shared" si="23"/>
        <v>470</v>
      </c>
      <c r="D108">
        <f t="shared" si="21"/>
        <v>440</v>
      </c>
      <c r="E108">
        <f t="shared" si="22"/>
        <v>520</v>
      </c>
      <c r="F108">
        <f>$G$4+'Data - DA'!D119</f>
        <v>649</v>
      </c>
      <c r="G108">
        <f t="shared" si="13"/>
        <v>650</v>
      </c>
      <c r="H108" t="str">
        <f>'Data - DA'!G119</f>
        <v xml:space="preserve">Aerobar Bolts: Top 25mm; Bottom 15mm </v>
      </c>
    </row>
    <row r="109" spans="2:8" x14ac:dyDescent="0.25">
      <c r="B109" t="str">
        <f>TEXT($B$3,0) &amp;" ----- "&amp;'Data - DA'!B120</f>
        <v>Frame: 56 ----- Stem: 70x30  ----- Aluminium Aerobar + 30</v>
      </c>
      <c r="C109">
        <f t="shared" si="23"/>
        <v>470</v>
      </c>
      <c r="D109">
        <f t="shared" si="21"/>
        <v>440</v>
      </c>
      <c r="E109">
        <f t="shared" si="22"/>
        <v>520</v>
      </c>
      <c r="F109">
        <f>$G$4+'Data - DA'!D120</f>
        <v>654</v>
      </c>
      <c r="G109">
        <f t="shared" si="13"/>
        <v>655</v>
      </c>
      <c r="H109" t="str">
        <f>'Data - DA'!G120</f>
        <v xml:space="preserve">Aerobar Bolts: Top 25mm; Bottom 15mm </v>
      </c>
    </row>
    <row r="110" spans="2:8" x14ac:dyDescent="0.25">
      <c r="B110" t="str">
        <f>TEXT($B$3,0) &amp;" ----- "&amp;'Data - DA'!B121</f>
        <v>Frame: 56 ----- Stem: 70x30  ----- Aluminium Aerobar + 20 + bridge + 5</v>
      </c>
      <c r="C110">
        <f t="shared" si="23"/>
        <v>470</v>
      </c>
      <c r="D110">
        <f t="shared" si="21"/>
        <v>440</v>
      </c>
      <c r="E110">
        <f t="shared" si="22"/>
        <v>520</v>
      </c>
      <c r="F110">
        <f>$G$4+'Data - DA'!D121</f>
        <v>654</v>
      </c>
      <c r="G110">
        <f t="shared" si="13"/>
        <v>655</v>
      </c>
      <c r="H110" t="str">
        <f>'Data - DA'!G121</f>
        <v xml:space="preserve">Aerobar Bolts: Top 25mm; Bottom 15mm </v>
      </c>
    </row>
    <row r="111" spans="2:8" x14ac:dyDescent="0.25">
      <c r="B111" t="str">
        <f>TEXT($B$3,0) &amp;" ----- "&amp;'Data - DA'!B122</f>
        <v>Frame: 56 ----- Stem: 70x30  ----- Aluminium Aerobar + 30 + bridge</v>
      </c>
      <c r="C111">
        <f t="shared" si="23"/>
        <v>470</v>
      </c>
      <c r="D111">
        <f t="shared" si="21"/>
        <v>440</v>
      </c>
      <c r="E111">
        <f t="shared" si="22"/>
        <v>520</v>
      </c>
      <c r="F111">
        <f>$G$4+'Data - DA'!D122</f>
        <v>659</v>
      </c>
      <c r="G111">
        <f t="shared" si="13"/>
        <v>660</v>
      </c>
      <c r="H111" t="str">
        <f>'Data - DA'!G122</f>
        <v xml:space="preserve">Aerobar Bolts: Top 30mm; Bottom 15mm </v>
      </c>
    </row>
    <row r="112" spans="2:8" x14ac:dyDescent="0.25">
      <c r="B112" t="str">
        <f>TEXT($B$3,0) &amp;" ----- "&amp;'Data - DA'!B123</f>
        <v>Frame: 56 ----- Stem: 70x30  ----- Aluminium Aerobar + 30 + bridge + 5</v>
      </c>
      <c r="C112">
        <f t="shared" si="23"/>
        <v>470</v>
      </c>
      <c r="D112">
        <f t="shared" si="21"/>
        <v>440</v>
      </c>
      <c r="E112">
        <f t="shared" si="22"/>
        <v>520</v>
      </c>
      <c r="F112">
        <f>$G$4+'Data - DA'!D123</f>
        <v>664</v>
      </c>
      <c r="G112">
        <f t="shared" si="13"/>
        <v>665</v>
      </c>
      <c r="H112" t="str">
        <f>'Data - DA'!G123</f>
        <v xml:space="preserve">Aerobar Bolts: Top 30mm; Bottom 15mm </v>
      </c>
    </row>
    <row r="113" spans="2:8" x14ac:dyDescent="0.25">
      <c r="B113" t="str">
        <f>TEXT($B$3,0) &amp;" ----- "&amp;'Data - DA'!B124</f>
        <v>Frame: 56 ----- Stem: 70x30  ----- Aluminium Aerobar + 40 + bridge</v>
      </c>
      <c r="C113">
        <f t="shared" si="23"/>
        <v>470</v>
      </c>
      <c r="D113">
        <f t="shared" si="21"/>
        <v>440</v>
      </c>
      <c r="E113">
        <f t="shared" si="22"/>
        <v>520</v>
      </c>
      <c r="F113">
        <f>$G$4+'Data - DA'!D124</f>
        <v>669</v>
      </c>
      <c r="G113">
        <f t="shared" si="13"/>
        <v>670</v>
      </c>
      <c r="H113" t="str">
        <f>'Data - DA'!G124</f>
        <v xml:space="preserve">Aerobar Bolts: Top 35mm; Bottom 15mm </v>
      </c>
    </row>
    <row r="114" spans="2:8" x14ac:dyDescent="0.25">
      <c r="B114" t="str">
        <f>TEXT($B$3,0) &amp;" ----- "&amp;'Data - DA'!B125</f>
        <v>Frame: 56 ----- Stem: 70x30  ----- Aluminium Aerobar + 40 + bridge + 5</v>
      </c>
      <c r="C114">
        <f t="shared" si="23"/>
        <v>470</v>
      </c>
      <c r="D114">
        <f t="shared" si="21"/>
        <v>440</v>
      </c>
      <c r="E114">
        <f t="shared" si="22"/>
        <v>520</v>
      </c>
      <c r="F114">
        <f>$G$4+'Data - DA'!D125</f>
        <v>674</v>
      </c>
      <c r="G114">
        <f t="shared" si="13"/>
        <v>675</v>
      </c>
      <c r="H114" t="str">
        <f>'Data - DA'!G125</f>
        <v xml:space="preserve">Aerobar Bolts: Top 35mm; Bottom 15mm </v>
      </c>
    </row>
    <row r="115" spans="2:8" x14ac:dyDescent="0.25">
      <c r="B115" t="str">
        <f>TEXT($B$3,0) &amp;" ----- "&amp;'Data - DA'!B126</f>
        <v>Frame: 56 ----- Stem: 70x30  ----- Aluminium Aerobar + 40 + bridge + 10</v>
      </c>
      <c r="C115">
        <f t="shared" si="23"/>
        <v>470</v>
      </c>
      <c r="D115">
        <f t="shared" si="21"/>
        <v>440</v>
      </c>
      <c r="E115">
        <f t="shared" si="22"/>
        <v>520</v>
      </c>
      <c r="F115">
        <f>$G$4+'Data - DA'!D126</f>
        <v>679</v>
      </c>
      <c r="G115">
        <f t="shared" si="13"/>
        <v>680</v>
      </c>
      <c r="H115" t="str">
        <f>'Data - DA'!G126</f>
        <v xml:space="preserve">Aerobar Bolts: Top 35mm; Bottom 15mm </v>
      </c>
    </row>
    <row r="116" spans="2:8" x14ac:dyDescent="0.25">
      <c r="B116" t="str">
        <f>TEXT($B$3,0) &amp;" ----- "&amp;'Data - DA'!B127</f>
        <v>Frame: 56 ----- Stem: 70x30  ----- Aluminium Aerobar + 40 + bridge + 10 + 5</v>
      </c>
      <c r="C116">
        <f t="shared" si="23"/>
        <v>470</v>
      </c>
      <c r="D116">
        <f t="shared" si="21"/>
        <v>440</v>
      </c>
      <c r="E116">
        <f t="shared" si="22"/>
        <v>520</v>
      </c>
      <c r="F116">
        <f>$G$4+'Data - DA'!D127</f>
        <v>684</v>
      </c>
      <c r="G116">
        <f t="shared" si="13"/>
        <v>685</v>
      </c>
      <c r="H116" t="str">
        <f>'Data - DA'!G127</f>
        <v xml:space="preserve">Aerobar Bolts: Top 35mm; Bottom 25mm </v>
      </c>
    </row>
    <row r="117" spans="2:8" x14ac:dyDescent="0.25">
      <c r="B117" t="str">
        <f>TEXT($B$3,0) &amp;" ----- "&amp;'Data - DA'!B128</f>
        <v>Frame: 56 ----- Stem: 70x60  ----- Aluminium Aerobar</v>
      </c>
      <c r="C117">
        <f>$L$8</f>
        <v>460</v>
      </c>
      <c r="D117">
        <f t="shared" ref="D117:D131" si="24">$L$9</f>
        <v>430</v>
      </c>
      <c r="E117">
        <f t="shared" ref="E117:E131" si="25">$L$10</f>
        <v>510</v>
      </c>
      <c r="F117">
        <f>$G$4+'Data - DA'!D128</f>
        <v>655</v>
      </c>
      <c r="G117">
        <f t="shared" si="13"/>
        <v>655</v>
      </c>
      <c r="H117" t="str">
        <f>'Data - DA'!G128</f>
        <v xml:space="preserve">Aerobar Bolts: Top 20mm; Bottom N/A </v>
      </c>
    </row>
    <row r="118" spans="2:8" x14ac:dyDescent="0.25">
      <c r="B118" t="str">
        <f>TEXT($B$3,0) &amp;" ----- "&amp;'Data - DA'!B129</f>
        <v>Frame: 56 ----- Stem: 70x60  ----- Aluminium Aerobar + 5</v>
      </c>
      <c r="C118">
        <f t="shared" ref="C118:C131" si="26">$L$8</f>
        <v>460</v>
      </c>
      <c r="D118">
        <f t="shared" si="24"/>
        <v>430</v>
      </c>
      <c r="E118">
        <f t="shared" si="25"/>
        <v>510</v>
      </c>
      <c r="F118">
        <f>$G$4+'Data - DA'!D129</f>
        <v>660</v>
      </c>
      <c r="G118">
        <f t="shared" si="13"/>
        <v>660</v>
      </c>
      <c r="H118" t="str">
        <f>'Data - DA'!G129</f>
        <v xml:space="preserve">Aerobar Bolts: Top 25mm; Bottom N/A </v>
      </c>
    </row>
    <row r="119" spans="2:8" x14ac:dyDescent="0.25">
      <c r="B119" t="str">
        <f>TEXT($B$3,0) &amp;" ----- "&amp;'Data - DA'!B130</f>
        <v>Frame: 56 ----- Stem: 70x60  ----- Aluminium Aerobar + 10</v>
      </c>
      <c r="C119">
        <f t="shared" si="26"/>
        <v>460</v>
      </c>
      <c r="D119">
        <f t="shared" si="24"/>
        <v>430</v>
      </c>
      <c r="E119">
        <f t="shared" si="25"/>
        <v>510</v>
      </c>
      <c r="F119">
        <f>$G$4+'Data - DA'!D130</f>
        <v>665</v>
      </c>
      <c r="G119">
        <f t="shared" si="13"/>
        <v>665</v>
      </c>
      <c r="H119" t="str">
        <f>'Data - DA'!G130</f>
        <v xml:space="preserve">Aerobar Bolts: Top 30mm; Bottom N/A </v>
      </c>
    </row>
    <row r="120" spans="2:8" x14ac:dyDescent="0.25">
      <c r="B120" t="str">
        <f>TEXT($B$3,0) &amp;" ----- "&amp;'Data - DA'!B131</f>
        <v>Frame: 56 ----- Stem: 70x60  ----- Aluminium Aerobar + 5 + 10</v>
      </c>
      <c r="C120">
        <f t="shared" si="26"/>
        <v>460</v>
      </c>
      <c r="D120">
        <f t="shared" si="24"/>
        <v>430</v>
      </c>
      <c r="E120">
        <f t="shared" si="25"/>
        <v>510</v>
      </c>
      <c r="F120">
        <f>$G$4+'Data - DA'!D131</f>
        <v>670</v>
      </c>
      <c r="G120">
        <f t="shared" si="13"/>
        <v>670</v>
      </c>
      <c r="H120" t="str">
        <f>'Data - DA'!G131</f>
        <v xml:space="preserve">Aerobar Bolts: Top 35mm; Bottom N/A </v>
      </c>
    </row>
    <row r="121" spans="2:8" x14ac:dyDescent="0.25">
      <c r="B121" t="str">
        <f>TEXT($B$3,0) &amp;" ----- "&amp;'Data - DA'!B132</f>
        <v>Frame: 56 ----- Stem: 70x60  ----- Aluminium Aerobar + 20</v>
      </c>
      <c r="C121">
        <f t="shared" si="26"/>
        <v>460</v>
      </c>
      <c r="D121">
        <f t="shared" si="24"/>
        <v>430</v>
      </c>
      <c r="E121">
        <f t="shared" si="25"/>
        <v>510</v>
      </c>
      <c r="F121">
        <f>$G$4+'Data - DA'!D132</f>
        <v>675</v>
      </c>
      <c r="G121">
        <f t="shared" si="13"/>
        <v>675</v>
      </c>
      <c r="H121" t="str">
        <f>'Data - DA'!G132</f>
        <v xml:space="preserve">Aerobar Bolts: Top 20mm; Bottom 15mm </v>
      </c>
    </row>
    <row r="122" spans="2:8" x14ac:dyDescent="0.25">
      <c r="B122" t="str">
        <f>TEXT($B$3,0) &amp;" ----- "&amp;'Data - DA'!B133</f>
        <v>Frame: 56 ----- Stem: 70x60  ----- Aluminium Aerobar + 20 + 5</v>
      </c>
      <c r="C122">
        <f t="shared" si="26"/>
        <v>460</v>
      </c>
      <c r="D122">
        <f t="shared" si="24"/>
        <v>430</v>
      </c>
      <c r="E122">
        <f t="shared" si="25"/>
        <v>510</v>
      </c>
      <c r="F122">
        <f>$G$4+'Data - DA'!D133</f>
        <v>680</v>
      </c>
      <c r="G122">
        <f t="shared" si="13"/>
        <v>680</v>
      </c>
      <c r="H122" t="str">
        <f>'Data - DA'!G133</f>
        <v xml:space="preserve">Aerobar Bolts: Top 25mm; Bottom 15mm </v>
      </c>
    </row>
    <row r="123" spans="2:8" x14ac:dyDescent="0.25">
      <c r="B123" t="str">
        <f>TEXT($B$3,0) &amp;" ----- "&amp;'Data - DA'!B134</f>
        <v>Frame: 56 ----- Stem: 70x60  ----- Aluminium Aerobar + 20 + bridge</v>
      </c>
      <c r="C123">
        <f t="shared" si="26"/>
        <v>460</v>
      </c>
      <c r="D123">
        <f t="shared" si="24"/>
        <v>430</v>
      </c>
      <c r="E123">
        <f t="shared" si="25"/>
        <v>510</v>
      </c>
      <c r="F123">
        <f>$G$4+'Data - DA'!D134</f>
        <v>680</v>
      </c>
      <c r="G123">
        <f t="shared" si="13"/>
        <v>680</v>
      </c>
      <c r="H123" t="str">
        <f>'Data - DA'!G134</f>
        <v xml:space="preserve">Aerobar Bolts: Top 25mm; Bottom 15mm </v>
      </c>
    </row>
    <row r="124" spans="2:8" x14ac:dyDescent="0.25">
      <c r="B124" t="str">
        <f>TEXT($B$3,0) &amp;" ----- "&amp;'Data - DA'!B135</f>
        <v>Frame: 56 ----- Stem: 70x60  ----- Aluminium Aerobar + 30</v>
      </c>
      <c r="C124">
        <f t="shared" si="26"/>
        <v>460</v>
      </c>
      <c r="D124">
        <f t="shared" si="24"/>
        <v>430</v>
      </c>
      <c r="E124">
        <f t="shared" si="25"/>
        <v>510</v>
      </c>
      <c r="F124">
        <f>$G$4+'Data - DA'!D135</f>
        <v>685</v>
      </c>
      <c r="G124">
        <f t="shared" si="13"/>
        <v>685</v>
      </c>
      <c r="H124" t="str">
        <f>'Data - DA'!G135</f>
        <v xml:space="preserve">Aerobar Bolts: Top 25mm; Bottom 15mm </v>
      </c>
    </row>
    <row r="125" spans="2:8" x14ac:dyDescent="0.25">
      <c r="B125" t="str">
        <f>TEXT($B$3,0) &amp;" ----- "&amp;'Data - DA'!B136</f>
        <v>Frame: 56 ----- Stem: 70x60  ----- Aluminium Aerobar + 20 + bridge + 5</v>
      </c>
      <c r="C125">
        <f t="shared" si="26"/>
        <v>460</v>
      </c>
      <c r="D125">
        <f t="shared" si="24"/>
        <v>430</v>
      </c>
      <c r="E125">
        <f t="shared" si="25"/>
        <v>510</v>
      </c>
      <c r="F125">
        <f>$G$4+'Data - DA'!D136</f>
        <v>685</v>
      </c>
      <c r="G125">
        <f t="shared" si="13"/>
        <v>685</v>
      </c>
      <c r="H125" t="str">
        <f>'Data - DA'!G136</f>
        <v xml:space="preserve">Aerobar Bolts: Top 25mm; Bottom 15mm </v>
      </c>
    </row>
    <row r="126" spans="2:8" x14ac:dyDescent="0.25">
      <c r="B126" t="str">
        <f>TEXT($B$3,0) &amp;" ----- "&amp;'Data - DA'!B137</f>
        <v>Frame: 56 ----- Stem: 70x60  ----- Aluminium Aerobar + 30 + bridge</v>
      </c>
      <c r="C126">
        <f t="shared" si="26"/>
        <v>460</v>
      </c>
      <c r="D126">
        <f t="shared" si="24"/>
        <v>430</v>
      </c>
      <c r="E126">
        <f t="shared" si="25"/>
        <v>510</v>
      </c>
      <c r="F126">
        <f>$G$4+'Data - DA'!D137</f>
        <v>690</v>
      </c>
      <c r="G126">
        <f t="shared" si="13"/>
        <v>690</v>
      </c>
      <c r="H126" t="str">
        <f>'Data - DA'!G137</f>
        <v xml:space="preserve">Aerobar Bolts: Top 30mm; Bottom 15mm </v>
      </c>
    </row>
    <row r="127" spans="2:8" x14ac:dyDescent="0.25">
      <c r="B127" t="str">
        <f>TEXT($B$3,0) &amp;" ----- "&amp;'Data - DA'!B138</f>
        <v>Frame: 56 ----- Stem: 70x60  ----- Aluminium Aerobar + 30 + bridge + 5</v>
      </c>
      <c r="C127">
        <f t="shared" si="26"/>
        <v>460</v>
      </c>
      <c r="D127">
        <f t="shared" si="24"/>
        <v>430</v>
      </c>
      <c r="E127">
        <f t="shared" si="25"/>
        <v>510</v>
      </c>
      <c r="F127">
        <f>$G$4+'Data - DA'!D138</f>
        <v>695</v>
      </c>
      <c r="G127">
        <f t="shared" si="13"/>
        <v>695</v>
      </c>
      <c r="H127" t="str">
        <f>'Data - DA'!G138</f>
        <v xml:space="preserve">Aerobar Bolts: Top 30mm; Bottom 15mm </v>
      </c>
    </row>
    <row r="128" spans="2:8" x14ac:dyDescent="0.25">
      <c r="B128" t="str">
        <f>TEXT($B$3,0) &amp;" ----- "&amp;'Data - DA'!B139</f>
        <v>Frame: 56 ----- Stem: 70x60  ----- Aluminium Aerobar + 40 + bridge</v>
      </c>
      <c r="C128">
        <f t="shared" si="26"/>
        <v>460</v>
      </c>
      <c r="D128">
        <f t="shared" si="24"/>
        <v>430</v>
      </c>
      <c r="E128">
        <f t="shared" si="25"/>
        <v>510</v>
      </c>
      <c r="F128">
        <f>$G$4+'Data - DA'!D139</f>
        <v>700</v>
      </c>
      <c r="G128">
        <f t="shared" si="13"/>
        <v>700</v>
      </c>
      <c r="H128" t="str">
        <f>'Data - DA'!G139</f>
        <v xml:space="preserve">Aerobar Bolts: Top 35mm; Bottom 15mm </v>
      </c>
    </row>
    <row r="129" spans="2:8" x14ac:dyDescent="0.25">
      <c r="B129" t="str">
        <f>TEXT($B$3,0) &amp;" ----- "&amp;'Data - DA'!B140</f>
        <v>Frame: 56 ----- Stem: 70x60  ----- Aluminium Aerobar + 40 + bridge + 5</v>
      </c>
      <c r="C129">
        <f t="shared" si="26"/>
        <v>460</v>
      </c>
      <c r="D129">
        <f t="shared" si="24"/>
        <v>430</v>
      </c>
      <c r="E129">
        <f t="shared" si="25"/>
        <v>510</v>
      </c>
      <c r="F129">
        <f>$G$4+'Data - DA'!D140</f>
        <v>705</v>
      </c>
      <c r="G129">
        <f t="shared" si="13"/>
        <v>705</v>
      </c>
      <c r="H129" t="str">
        <f>'Data - DA'!G140</f>
        <v xml:space="preserve">Aerobar Bolts: Top 35mm; Bottom 15mm </v>
      </c>
    </row>
    <row r="130" spans="2:8" x14ac:dyDescent="0.25">
      <c r="B130" t="str">
        <f>TEXT($B$3,0) &amp;" ----- "&amp;'Data - DA'!B141</f>
        <v>Frame: 56 ----- Stem: 70x60  ----- Aluminium Aerobar + 40 + bridge + 10</v>
      </c>
      <c r="C130">
        <f t="shared" si="26"/>
        <v>460</v>
      </c>
      <c r="D130">
        <f t="shared" si="24"/>
        <v>430</v>
      </c>
      <c r="E130">
        <f t="shared" si="25"/>
        <v>510</v>
      </c>
      <c r="F130">
        <f>$G$4+'Data - DA'!D141</f>
        <v>710</v>
      </c>
      <c r="G130">
        <f t="shared" si="13"/>
        <v>710</v>
      </c>
      <c r="H130" t="str">
        <f>'Data - DA'!G141</f>
        <v xml:space="preserve">Aerobar Bolts: Top 35mm; Bottom 15mm </v>
      </c>
    </row>
    <row r="131" spans="2:8" x14ac:dyDescent="0.25">
      <c r="B131" t="str">
        <f>TEXT($B$3,0) &amp;" ----- "&amp;'Data - DA'!B142</f>
        <v>Frame: 56 ----- Stem: 70x60  ----- Aluminium Aerobar + 40 + bridge + 10 + 5</v>
      </c>
      <c r="C131">
        <f t="shared" si="26"/>
        <v>460</v>
      </c>
      <c r="D131">
        <f t="shared" si="24"/>
        <v>430</v>
      </c>
      <c r="E131">
        <f t="shared" si="25"/>
        <v>510</v>
      </c>
      <c r="F131">
        <f>$G$4+'Data - DA'!D142</f>
        <v>715</v>
      </c>
      <c r="G131">
        <f t="shared" si="13"/>
        <v>715</v>
      </c>
      <c r="H131" t="str">
        <f>'Data - DA'!G142</f>
        <v xml:space="preserve">Aerobar Bolts: Top 35mm; Bottom 25mm </v>
      </c>
    </row>
    <row r="132" spans="2:8" x14ac:dyDescent="0.25">
      <c r="B132" t="str">
        <f>TEXT($B$3,0) &amp;" ----- "&amp;'Data - DA'!B143</f>
        <v>Frame: 56 ----- Stem: 100x30  ----- Aluminium Aerobar</v>
      </c>
      <c r="C132">
        <f>$M$8</f>
        <v>500</v>
      </c>
      <c r="D132">
        <f t="shared" ref="D132:D146" si="27">$M$9</f>
        <v>470</v>
      </c>
      <c r="E132">
        <f t="shared" ref="E132:E146" si="28">$M$10</f>
        <v>550</v>
      </c>
      <c r="F132">
        <f>$G$4+'Data - DA'!D143</f>
        <v>625</v>
      </c>
      <c r="G132">
        <f t="shared" si="13"/>
        <v>625</v>
      </c>
      <c r="H132" t="str">
        <f>'Data - DA'!G143</f>
        <v xml:space="preserve">Aerobar Bolts: Top 20mm; Bottom N/A </v>
      </c>
    </row>
    <row r="133" spans="2:8" x14ac:dyDescent="0.25">
      <c r="B133" t="str">
        <f>TEXT($B$3,0) &amp;" ----- "&amp;'Data - DA'!B144</f>
        <v>Frame: 56 ----- Stem: 100x30  ----- Aluminium Aerobar + 5</v>
      </c>
      <c r="C133">
        <f t="shared" ref="C133:C146" si="29">$M$8</f>
        <v>500</v>
      </c>
      <c r="D133">
        <f t="shared" si="27"/>
        <v>470</v>
      </c>
      <c r="E133">
        <f t="shared" si="28"/>
        <v>550</v>
      </c>
      <c r="F133">
        <f>$G$4+'Data - DA'!D144</f>
        <v>630</v>
      </c>
      <c r="G133">
        <f t="shared" si="13"/>
        <v>630</v>
      </c>
      <c r="H133" t="str">
        <f>'Data - DA'!G144</f>
        <v xml:space="preserve">Aerobar Bolts: Top 25mm; Bottom N/A </v>
      </c>
    </row>
    <row r="134" spans="2:8" x14ac:dyDescent="0.25">
      <c r="B134" t="str">
        <f>TEXT($B$3,0) &amp;" ----- "&amp;'Data - DA'!B145</f>
        <v>Frame: 56 ----- Stem: 100x30  ----- Aluminium Aerobar + 10</v>
      </c>
      <c r="C134">
        <f t="shared" si="29"/>
        <v>500</v>
      </c>
      <c r="D134">
        <f t="shared" si="27"/>
        <v>470</v>
      </c>
      <c r="E134">
        <f t="shared" si="28"/>
        <v>550</v>
      </c>
      <c r="F134">
        <f>$G$4+'Data - DA'!D145</f>
        <v>635</v>
      </c>
      <c r="G134">
        <f t="shared" si="13"/>
        <v>635</v>
      </c>
      <c r="H134" t="str">
        <f>'Data - DA'!G145</f>
        <v xml:space="preserve">Aerobar Bolts: Top 30mm; Bottom N/A </v>
      </c>
    </row>
    <row r="135" spans="2:8" x14ac:dyDescent="0.25">
      <c r="B135" t="str">
        <f>TEXT($B$3,0) &amp;" ----- "&amp;'Data - DA'!B146</f>
        <v>Frame: 56 ----- Stem: 100x30  ----- Aluminium Aerobar + 5 + 10</v>
      </c>
      <c r="C135">
        <f t="shared" si="29"/>
        <v>500</v>
      </c>
      <c r="D135">
        <f t="shared" si="27"/>
        <v>470</v>
      </c>
      <c r="E135">
        <f t="shared" si="28"/>
        <v>550</v>
      </c>
      <c r="F135">
        <f>$G$4+'Data - DA'!D146</f>
        <v>640</v>
      </c>
      <c r="G135">
        <f t="shared" si="13"/>
        <v>640</v>
      </c>
      <c r="H135" t="str">
        <f>'Data - DA'!G146</f>
        <v xml:space="preserve">Aerobar Bolts: Top 35mm; Bottom N/A </v>
      </c>
    </row>
    <row r="136" spans="2:8" x14ac:dyDescent="0.25">
      <c r="B136" t="str">
        <f>TEXT($B$3,0) &amp;" ----- "&amp;'Data - DA'!B147</f>
        <v>Frame: 56 ----- Stem: 100x30  ----- Aluminium Aerobar + 20</v>
      </c>
      <c r="C136">
        <f t="shared" si="29"/>
        <v>500</v>
      </c>
      <c r="D136">
        <f t="shared" si="27"/>
        <v>470</v>
      </c>
      <c r="E136">
        <f t="shared" si="28"/>
        <v>550</v>
      </c>
      <c r="F136">
        <f>$G$4+'Data - DA'!D147</f>
        <v>645</v>
      </c>
      <c r="G136">
        <f t="shared" si="13"/>
        <v>645</v>
      </c>
      <c r="H136" t="str">
        <f>'Data - DA'!G147</f>
        <v xml:space="preserve">Aerobar Bolts: Top 20mm; Bottom 15mm </v>
      </c>
    </row>
    <row r="137" spans="2:8" x14ac:dyDescent="0.25">
      <c r="B137" t="str">
        <f>TEXT($B$3,0) &amp;" ----- "&amp;'Data - DA'!B148</f>
        <v>Frame: 56 ----- Stem: 100x30  ----- Aluminium Aerobar + 20 + 5</v>
      </c>
      <c r="C137">
        <f t="shared" si="29"/>
        <v>500</v>
      </c>
      <c r="D137">
        <f t="shared" si="27"/>
        <v>470</v>
      </c>
      <c r="E137">
        <f t="shared" si="28"/>
        <v>550</v>
      </c>
      <c r="F137">
        <f>$G$4+'Data - DA'!D148</f>
        <v>650</v>
      </c>
      <c r="G137">
        <f t="shared" si="13"/>
        <v>650</v>
      </c>
      <c r="H137" t="str">
        <f>'Data - DA'!G148</f>
        <v xml:space="preserve">Aerobar Bolts: Top 25mm; Bottom 15mm </v>
      </c>
    </row>
    <row r="138" spans="2:8" x14ac:dyDescent="0.25">
      <c r="B138" t="str">
        <f>TEXT($B$3,0) &amp;" ----- "&amp;'Data - DA'!B149</f>
        <v>Frame: 56 ----- Stem: 100x30  ----- Aluminium Aerobar + 20 + bridge</v>
      </c>
      <c r="C138">
        <f t="shared" si="29"/>
        <v>500</v>
      </c>
      <c r="D138">
        <f t="shared" si="27"/>
        <v>470</v>
      </c>
      <c r="E138">
        <f t="shared" si="28"/>
        <v>550</v>
      </c>
      <c r="F138">
        <f>$G$4+'Data - DA'!D149</f>
        <v>650</v>
      </c>
      <c r="G138">
        <f t="shared" si="13"/>
        <v>650</v>
      </c>
      <c r="H138" t="str">
        <f>'Data - DA'!G149</f>
        <v xml:space="preserve">Aerobar Bolts: Top 25mm; Bottom 15mm </v>
      </c>
    </row>
    <row r="139" spans="2:8" x14ac:dyDescent="0.25">
      <c r="B139" t="str">
        <f>TEXT($B$3,0) &amp;" ----- "&amp;'Data - DA'!B150</f>
        <v>Frame: 56 ----- Stem: 100x30  ----- Aluminium Aerobar + 30</v>
      </c>
      <c r="C139">
        <f t="shared" si="29"/>
        <v>500</v>
      </c>
      <c r="D139">
        <f t="shared" si="27"/>
        <v>470</v>
      </c>
      <c r="E139">
        <f t="shared" si="28"/>
        <v>550</v>
      </c>
      <c r="F139">
        <f>$G$4+'Data - DA'!D150</f>
        <v>655</v>
      </c>
      <c r="G139">
        <f t="shared" si="13"/>
        <v>655</v>
      </c>
      <c r="H139" t="str">
        <f>'Data - DA'!G150</f>
        <v xml:space="preserve">Aerobar Bolts: Top 25mm; Bottom 15mm </v>
      </c>
    </row>
    <row r="140" spans="2:8" x14ac:dyDescent="0.25">
      <c r="B140" t="str">
        <f>TEXT($B$3,0) &amp;" ----- "&amp;'Data - DA'!B151</f>
        <v>Frame: 56 ----- Stem: 100x30  ----- Aluminium Aerobar + 20 + bridge + 5</v>
      </c>
      <c r="C140">
        <f t="shared" si="29"/>
        <v>500</v>
      </c>
      <c r="D140">
        <f t="shared" si="27"/>
        <v>470</v>
      </c>
      <c r="E140">
        <f t="shared" si="28"/>
        <v>550</v>
      </c>
      <c r="F140">
        <f>$G$4+'Data - DA'!D151</f>
        <v>655</v>
      </c>
      <c r="G140">
        <f t="shared" si="13"/>
        <v>655</v>
      </c>
      <c r="H140" t="str">
        <f>'Data - DA'!G151</f>
        <v xml:space="preserve">Aerobar Bolts: Top 25mm; Bottom 15mm </v>
      </c>
    </row>
    <row r="141" spans="2:8" x14ac:dyDescent="0.25">
      <c r="B141" t="str">
        <f>TEXT($B$3,0) &amp;" ----- "&amp;'Data - DA'!B152</f>
        <v>Frame: 56 ----- Stem: 100x30  ----- Aluminium Aerobar + 30 + bridge</v>
      </c>
      <c r="C141">
        <f t="shared" si="29"/>
        <v>500</v>
      </c>
      <c r="D141">
        <f t="shared" si="27"/>
        <v>470</v>
      </c>
      <c r="E141">
        <f t="shared" si="28"/>
        <v>550</v>
      </c>
      <c r="F141">
        <f>$G$4+'Data - DA'!D152</f>
        <v>660</v>
      </c>
      <c r="G141">
        <f t="shared" si="13"/>
        <v>660</v>
      </c>
      <c r="H141" t="str">
        <f>'Data - DA'!G152</f>
        <v xml:space="preserve">Aerobar Bolts: Top 30mm; Bottom 15mm </v>
      </c>
    </row>
    <row r="142" spans="2:8" x14ac:dyDescent="0.25">
      <c r="B142" t="str">
        <f>TEXT($B$3,0) &amp;" ----- "&amp;'Data - DA'!B153</f>
        <v>Frame: 56 ----- Stem: 100x30  ----- Aluminium Aerobar + 30 + bridge + 5</v>
      </c>
      <c r="C142">
        <f t="shared" si="29"/>
        <v>500</v>
      </c>
      <c r="D142">
        <f t="shared" si="27"/>
        <v>470</v>
      </c>
      <c r="E142">
        <f t="shared" si="28"/>
        <v>550</v>
      </c>
      <c r="F142">
        <f>$G$4+'Data - DA'!D153</f>
        <v>665</v>
      </c>
      <c r="G142">
        <f t="shared" si="13"/>
        <v>665</v>
      </c>
      <c r="H142" t="str">
        <f>'Data - DA'!G153</f>
        <v xml:space="preserve">Aerobar Bolts: Top 30mm; Bottom 15mm </v>
      </c>
    </row>
    <row r="143" spans="2:8" x14ac:dyDescent="0.25">
      <c r="B143" t="str">
        <f>TEXT($B$3,0) &amp;" ----- "&amp;'Data - DA'!B154</f>
        <v>Frame: 56 ----- Stem: 100x30  ----- Aluminium Aerobar + 40 + bridge</v>
      </c>
      <c r="C143">
        <f t="shared" si="29"/>
        <v>500</v>
      </c>
      <c r="D143">
        <f t="shared" si="27"/>
        <v>470</v>
      </c>
      <c r="E143">
        <f t="shared" si="28"/>
        <v>550</v>
      </c>
      <c r="F143">
        <f>$G$4+'Data - DA'!D154</f>
        <v>670</v>
      </c>
      <c r="G143">
        <f t="shared" si="13"/>
        <v>670</v>
      </c>
      <c r="H143" t="str">
        <f>'Data - DA'!G154</f>
        <v xml:space="preserve">Aerobar Bolts: Top 35mm; Bottom 15mm </v>
      </c>
    </row>
    <row r="144" spans="2:8" x14ac:dyDescent="0.25">
      <c r="B144" t="str">
        <f>TEXT($B$3,0) &amp;" ----- "&amp;'Data - DA'!B155</f>
        <v>Frame: 56 ----- Stem: 100x30  ----- Aluminium Aerobar + 40 + bridge + 5</v>
      </c>
      <c r="C144">
        <f t="shared" si="29"/>
        <v>500</v>
      </c>
      <c r="D144">
        <f t="shared" si="27"/>
        <v>470</v>
      </c>
      <c r="E144">
        <f t="shared" si="28"/>
        <v>550</v>
      </c>
      <c r="F144">
        <f>$G$4+'Data - DA'!D155</f>
        <v>675</v>
      </c>
      <c r="G144">
        <f t="shared" si="13"/>
        <v>675</v>
      </c>
      <c r="H144" t="str">
        <f>'Data - DA'!G155</f>
        <v xml:space="preserve">Aerobar Bolts: Top 35mm; Bottom 15mm </v>
      </c>
    </row>
    <row r="145" spans="2:8" x14ac:dyDescent="0.25">
      <c r="B145" t="str">
        <f>TEXT($B$3,0) &amp;" ----- "&amp;'Data - DA'!B156</f>
        <v>Frame: 56 ----- Stem: 100x30  ----- Aluminium Aerobar + 40 + bridge + 10</v>
      </c>
      <c r="C145">
        <f t="shared" si="29"/>
        <v>500</v>
      </c>
      <c r="D145">
        <f t="shared" si="27"/>
        <v>470</v>
      </c>
      <c r="E145">
        <f t="shared" si="28"/>
        <v>550</v>
      </c>
      <c r="F145">
        <f>$G$4+'Data - DA'!D156</f>
        <v>680</v>
      </c>
      <c r="G145">
        <f t="shared" si="13"/>
        <v>680</v>
      </c>
      <c r="H145" t="str">
        <f>'Data - DA'!G156</f>
        <v xml:space="preserve">Aerobar Bolts: Top 35mm; Bottom 15mm </v>
      </c>
    </row>
    <row r="146" spans="2:8" x14ac:dyDescent="0.25">
      <c r="B146" t="str">
        <f>TEXT($B$3,0) &amp;" ----- "&amp;'Data - DA'!B157</f>
        <v>Frame: 56 ----- Stem: 100x30  ----- Aluminium Aerobar + 40 + bridge + 10 + 5</v>
      </c>
      <c r="C146">
        <f t="shared" si="29"/>
        <v>500</v>
      </c>
      <c r="D146">
        <f t="shared" si="27"/>
        <v>470</v>
      </c>
      <c r="E146">
        <f t="shared" si="28"/>
        <v>550</v>
      </c>
      <c r="F146">
        <f>$G$4+'Data - DA'!D157</f>
        <v>685</v>
      </c>
      <c r="G146">
        <f t="shared" si="13"/>
        <v>685</v>
      </c>
      <c r="H146" t="str">
        <f>'Data - DA'!G157</f>
        <v xml:space="preserve">Aerobar Bolts: Top 35mm; Bottom 25mm </v>
      </c>
    </row>
    <row r="147" spans="2:8" x14ac:dyDescent="0.25">
      <c r="B147" t="str">
        <f>TEXT($B$3,0) &amp;" ----- "&amp;'Data - DA'!B158</f>
        <v>Frame: 56 ----- Stem: 100x60  ----- Aluminium Aerobar</v>
      </c>
      <c r="C147">
        <f>$N$8</f>
        <v>490</v>
      </c>
      <c r="D147">
        <f t="shared" ref="D147:D161" si="30">$N$9</f>
        <v>460</v>
      </c>
      <c r="E147">
        <f t="shared" ref="E147:E161" si="31">$N$10</f>
        <v>540</v>
      </c>
      <c r="F147">
        <f>$G$4+'Data - DA'!D158</f>
        <v>655</v>
      </c>
      <c r="G147">
        <f t="shared" si="13"/>
        <v>655</v>
      </c>
      <c r="H147" t="str">
        <f>'Data - DA'!G158</f>
        <v xml:space="preserve">Aerobar Bolts: Top 20mm; Bottom N/A </v>
      </c>
    </row>
    <row r="148" spans="2:8" x14ac:dyDescent="0.25">
      <c r="B148" t="str">
        <f>TEXT($B$3,0) &amp;" ----- "&amp;'Data - DA'!B159</f>
        <v>Frame: 56 ----- Stem: 100x60  ----- Aluminium Aerobar + 5</v>
      </c>
      <c r="C148">
        <f t="shared" ref="C148:C161" si="32">$N$8</f>
        <v>490</v>
      </c>
      <c r="D148">
        <f t="shared" si="30"/>
        <v>460</v>
      </c>
      <c r="E148">
        <f t="shared" si="31"/>
        <v>540</v>
      </c>
      <c r="F148">
        <f>$G$4+'Data - DA'!D159</f>
        <v>660</v>
      </c>
      <c r="G148">
        <f t="shared" si="13"/>
        <v>660</v>
      </c>
      <c r="H148" t="str">
        <f>'Data - DA'!G159</f>
        <v xml:space="preserve">Aerobar Bolts: Top 25mm; Bottom N/A </v>
      </c>
    </row>
    <row r="149" spans="2:8" x14ac:dyDescent="0.25">
      <c r="B149" t="str">
        <f>TEXT($B$3,0) &amp;" ----- "&amp;'Data - DA'!B160</f>
        <v>Frame: 56 ----- Stem: 100x60  ----- Aluminium Aerobar + 10</v>
      </c>
      <c r="C149">
        <f t="shared" si="32"/>
        <v>490</v>
      </c>
      <c r="D149">
        <f t="shared" si="30"/>
        <v>460</v>
      </c>
      <c r="E149">
        <f t="shared" si="31"/>
        <v>540</v>
      </c>
      <c r="F149">
        <f>$G$4+'Data - DA'!D160</f>
        <v>665</v>
      </c>
      <c r="G149">
        <f t="shared" si="13"/>
        <v>665</v>
      </c>
      <c r="H149" t="str">
        <f>'Data - DA'!G160</f>
        <v xml:space="preserve">Aerobar Bolts: Top 30mm; Bottom N/A </v>
      </c>
    </row>
    <row r="150" spans="2:8" x14ac:dyDescent="0.25">
      <c r="B150" t="str">
        <f>TEXT($B$3,0) &amp;" ----- "&amp;'Data - DA'!B161</f>
        <v>Frame: 56 ----- Stem: 100x60  ----- Aluminium Aerobar + 5 + 10</v>
      </c>
      <c r="C150">
        <f t="shared" si="32"/>
        <v>490</v>
      </c>
      <c r="D150">
        <f t="shared" si="30"/>
        <v>460</v>
      </c>
      <c r="E150">
        <f t="shared" si="31"/>
        <v>540</v>
      </c>
      <c r="F150">
        <f>$G$4+'Data - DA'!D161</f>
        <v>670</v>
      </c>
      <c r="G150">
        <f t="shared" si="13"/>
        <v>670</v>
      </c>
      <c r="H150" t="str">
        <f>'Data - DA'!G161</f>
        <v xml:space="preserve">Aerobar Bolts: Top 35mm; Bottom N/A </v>
      </c>
    </row>
    <row r="151" spans="2:8" x14ac:dyDescent="0.25">
      <c r="B151" t="str">
        <f>TEXT($B$3,0) &amp;" ----- "&amp;'Data - DA'!B162</f>
        <v>Frame: 56 ----- Stem: 100x60  ----- Aluminium Aerobar + 20</v>
      </c>
      <c r="C151">
        <f t="shared" si="32"/>
        <v>490</v>
      </c>
      <c r="D151">
        <f t="shared" si="30"/>
        <v>460</v>
      </c>
      <c r="E151">
        <f t="shared" si="31"/>
        <v>540</v>
      </c>
      <c r="F151">
        <f>$G$4+'Data - DA'!D162</f>
        <v>675</v>
      </c>
      <c r="G151">
        <f t="shared" si="13"/>
        <v>675</v>
      </c>
      <c r="H151" t="str">
        <f>'Data - DA'!G162</f>
        <v xml:space="preserve">Aerobar Bolts: Top 20mm; Bottom 15mm </v>
      </c>
    </row>
    <row r="152" spans="2:8" x14ac:dyDescent="0.25">
      <c r="B152" t="str">
        <f>TEXT($B$3,0) &amp;" ----- "&amp;'Data - DA'!B163</f>
        <v>Frame: 56 ----- Stem: 100x60  ----- Aluminium Aerobar + 20 + 5</v>
      </c>
      <c r="C152">
        <f t="shared" si="32"/>
        <v>490</v>
      </c>
      <c r="D152">
        <f t="shared" si="30"/>
        <v>460</v>
      </c>
      <c r="E152">
        <f t="shared" si="31"/>
        <v>540</v>
      </c>
      <c r="F152">
        <f>$G$4+'Data - DA'!D163</f>
        <v>680</v>
      </c>
      <c r="G152">
        <f t="shared" ref="G152:G161" si="33">ROUND(F152/5,0)*5</f>
        <v>680</v>
      </c>
      <c r="H152" t="str">
        <f>'Data - DA'!G163</f>
        <v xml:space="preserve">Aerobar Bolts: Top 25mm; Bottom 15mm </v>
      </c>
    </row>
    <row r="153" spans="2:8" x14ac:dyDescent="0.25">
      <c r="B153" t="str">
        <f>TEXT($B$3,0) &amp;" ----- "&amp;'Data - DA'!B164</f>
        <v>Frame: 56 ----- Stem: 100x60  ----- Aluminium Aerobar + 20 + bridge</v>
      </c>
      <c r="C153">
        <f t="shared" si="32"/>
        <v>490</v>
      </c>
      <c r="D153">
        <f t="shared" si="30"/>
        <v>460</v>
      </c>
      <c r="E153">
        <f t="shared" si="31"/>
        <v>540</v>
      </c>
      <c r="F153">
        <f>$G$4+'Data - DA'!D164</f>
        <v>680</v>
      </c>
      <c r="G153">
        <f t="shared" si="33"/>
        <v>680</v>
      </c>
      <c r="H153" t="str">
        <f>'Data - DA'!G164</f>
        <v xml:space="preserve">Aerobar Bolts: Top 25mm; Bottom 15mm </v>
      </c>
    </row>
    <row r="154" spans="2:8" x14ac:dyDescent="0.25">
      <c r="B154" t="str">
        <f>TEXT($B$3,0) &amp;" ----- "&amp;'Data - DA'!B165</f>
        <v>Frame: 56 ----- Stem: 100x60  ----- Aluminium Aerobar + 30</v>
      </c>
      <c r="C154">
        <f t="shared" si="32"/>
        <v>490</v>
      </c>
      <c r="D154">
        <f t="shared" si="30"/>
        <v>460</v>
      </c>
      <c r="E154">
        <f t="shared" si="31"/>
        <v>540</v>
      </c>
      <c r="F154">
        <f>$G$4+'Data - DA'!D165</f>
        <v>685</v>
      </c>
      <c r="G154">
        <f t="shared" si="33"/>
        <v>685</v>
      </c>
      <c r="H154" t="str">
        <f>'Data - DA'!G165</f>
        <v xml:space="preserve">Aerobar Bolts: Top 25mm; Bottom 15mm </v>
      </c>
    </row>
    <row r="155" spans="2:8" x14ac:dyDescent="0.25">
      <c r="B155" t="str">
        <f>TEXT($B$3,0) &amp;" ----- "&amp;'Data - DA'!B166</f>
        <v>Frame: 56 ----- Stem: 100x60  ----- Aluminium Aerobar + 20 + bridge + 5</v>
      </c>
      <c r="C155">
        <f t="shared" si="32"/>
        <v>490</v>
      </c>
      <c r="D155">
        <f t="shared" si="30"/>
        <v>460</v>
      </c>
      <c r="E155">
        <f t="shared" si="31"/>
        <v>540</v>
      </c>
      <c r="F155">
        <f>$G$4+'Data - DA'!D166</f>
        <v>685</v>
      </c>
      <c r="G155">
        <f t="shared" si="33"/>
        <v>685</v>
      </c>
      <c r="H155" t="str">
        <f>'Data - DA'!G166</f>
        <v xml:space="preserve">Aerobar Bolts: Top 25mm; Bottom 15mm </v>
      </c>
    </row>
    <row r="156" spans="2:8" x14ac:dyDescent="0.25">
      <c r="B156" t="str">
        <f>TEXT($B$3,0) &amp;" ----- "&amp;'Data - DA'!B167</f>
        <v>Frame: 56 ----- Stem: 100x60  ----- Aluminium Aerobar + 30 + bridge</v>
      </c>
      <c r="C156">
        <f t="shared" si="32"/>
        <v>490</v>
      </c>
      <c r="D156">
        <f t="shared" si="30"/>
        <v>460</v>
      </c>
      <c r="E156">
        <f t="shared" si="31"/>
        <v>540</v>
      </c>
      <c r="F156">
        <f>$G$4+'Data - DA'!D167</f>
        <v>690</v>
      </c>
      <c r="G156">
        <f t="shared" si="33"/>
        <v>690</v>
      </c>
      <c r="H156" t="str">
        <f>'Data - DA'!G167</f>
        <v xml:space="preserve">Aerobar Bolts: Top 30mm; Bottom 15mm </v>
      </c>
    </row>
    <row r="157" spans="2:8" x14ac:dyDescent="0.25">
      <c r="B157" t="str">
        <f>TEXT($B$3,0) &amp;" ----- "&amp;'Data - DA'!B168</f>
        <v>Frame: 56 ----- Stem: 100x60  ----- Aluminium Aerobar + 30 + bridge + 5</v>
      </c>
      <c r="C157">
        <f t="shared" si="32"/>
        <v>490</v>
      </c>
      <c r="D157">
        <f t="shared" si="30"/>
        <v>460</v>
      </c>
      <c r="E157">
        <f t="shared" si="31"/>
        <v>540</v>
      </c>
      <c r="F157">
        <f>$G$4+'Data - DA'!D168</f>
        <v>695</v>
      </c>
      <c r="G157">
        <f t="shared" si="33"/>
        <v>695</v>
      </c>
      <c r="H157" t="str">
        <f>'Data - DA'!G168</f>
        <v xml:space="preserve">Aerobar Bolts: Top 30mm; Bottom 15mm </v>
      </c>
    </row>
    <row r="158" spans="2:8" x14ac:dyDescent="0.25">
      <c r="B158" t="str">
        <f>TEXT($B$3,0) &amp;" ----- "&amp;'Data - DA'!B169</f>
        <v>Frame: 56 ----- Stem: 100x60  ----- Aluminium Aerobar + 40 + bridge</v>
      </c>
      <c r="C158">
        <f t="shared" si="32"/>
        <v>490</v>
      </c>
      <c r="D158">
        <f t="shared" si="30"/>
        <v>460</v>
      </c>
      <c r="E158">
        <f t="shared" si="31"/>
        <v>540</v>
      </c>
      <c r="F158">
        <f>$G$4+'Data - DA'!D169</f>
        <v>700</v>
      </c>
      <c r="G158">
        <f t="shared" si="33"/>
        <v>700</v>
      </c>
      <c r="H158" t="str">
        <f>'Data - DA'!G169</f>
        <v xml:space="preserve">Aerobar Bolts: Top 35mm; Bottom 15mm </v>
      </c>
    </row>
    <row r="159" spans="2:8" x14ac:dyDescent="0.25">
      <c r="B159" t="str">
        <f>TEXT($B$3,0) &amp;" ----- "&amp;'Data - DA'!B170</f>
        <v>Frame: 56 ----- Stem: 100x60  ----- Aluminium Aerobar + 40 + bridge + 5</v>
      </c>
      <c r="C159">
        <f t="shared" si="32"/>
        <v>490</v>
      </c>
      <c r="D159">
        <f t="shared" si="30"/>
        <v>460</v>
      </c>
      <c r="E159">
        <f t="shared" si="31"/>
        <v>540</v>
      </c>
      <c r="F159">
        <f>$G$4+'Data - DA'!D170</f>
        <v>705</v>
      </c>
      <c r="G159">
        <f t="shared" si="33"/>
        <v>705</v>
      </c>
      <c r="H159" t="str">
        <f>'Data - DA'!G170</f>
        <v xml:space="preserve">Aerobar Bolts: Top 35mm; Bottom 15mm </v>
      </c>
    </row>
    <row r="160" spans="2:8" x14ac:dyDescent="0.25">
      <c r="B160" t="str">
        <f>TEXT($B$3,0) &amp;" ----- "&amp;'Data - DA'!B171</f>
        <v>Frame: 56 ----- Stem: 100x60  ----- Aluminium Aerobar + 40 + bridge + 10</v>
      </c>
      <c r="C160">
        <f t="shared" si="32"/>
        <v>490</v>
      </c>
      <c r="D160">
        <f t="shared" si="30"/>
        <v>460</v>
      </c>
      <c r="E160">
        <f t="shared" si="31"/>
        <v>540</v>
      </c>
      <c r="F160">
        <f>$G$4+'Data - DA'!D171</f>
        <v>710</v>
      </c>
      <c r="G160">
        <f t="shared" si="33"/>
        <v>710</v>
      </c>
      <c r="H160" t="str">
        <f>'Data - DA'!G171</f>
        <v xml:space="preserve">Aerobar Bolts: Top 35mm; Bottom 15mm </v>
      </c>
    </row>
    <row r="161" spans="2:8" x14ac:dyDescent="0.25">
      <c r="B161" t="str">
        <f>TEXT($B$3,0) &amp;" ----- "&amp;'Data - DA'!B172</f>
        <v>Frame: 56 ----- Stem: 100x60  ----- Aluminium Aerobar + 40 + bridge + 10 + 5</v>
      </c>
      <c r="C161">
        <f t="shared" si="32"/>
        <v>490</v>
      </c>
      <c r="D161">
        <f t="shared" si="30"/>
        <v>460</v>
      </c>
      <c r="E161">
        <f t="shared" si="31"/>
        <v>540</v>
      </c>
      <c r="F161">
        <f>$G$4+'Data - DA'!D172</f>
        <v>715</v>
      </c>
      <c r="G161">
        <f t="shared" si="33"/>
        <v>715</v>
      </c>
      <c r="H161" t="str">
        <f>'Data - DA'!G172</f>
        <v xml:space="preserve">Aerobar Bolts: Top 35mm; Bottom 25mm </v>
      </c>
    </row>
    <row r="162" spans="2:8" x14ac:dyDescent="0.25">
      <c r="B162" t="str">
        <f>TEXT($B$3,0) &amp;" ----- "&amp;'Data - DA'!B173</f>
        <v>Frame: 56 ----- Stem: 90x0  ----- Aluminium Aerobar</v>
      </c>
      <c r="C162">
        <f>$O$8</f>
        <v>495</v>
      </c>
      <c r="D162">
        <f t="shared" ref="D162:D176" si="34">$O$9</f>
        <v>465</v>
      </c>
      <c r="E162">
        <f t="shared" ref="E162:E176" si="35">$O$10</f>
        <v>545</v>
      </c>
      <c r="F162">
        <f>$G$4+'Data - DA'!D173</f>
        <v>593</v>
      </c>
      <c r="G162">
        <f t="shared" ref="G162:G191" si="36">ROUND(F162/5,0)*5</f>
        <v>595</v>
      </c>
      <c r="H162" t="str">
        <f>'Data - DA'!G173</f>
        <v xml:space="preserve">Aerobar Bolts: Top 20mm; Bottom N/A </v>
      </c>
    </row>
    <row r="163" spans="2:8" x14ac:dyDescent="0.25">
      <c r="B163" t="str">
        <f>TEXT($B$3,0) &amp;" ----- "&amp;'Data - DA'!B174</f>
        <v>Frame: 56 ----- Stem: 90x0  ----- Aluminium Aerobar + 5</v>
      </c>
      <c r="C163">
        <f t="shared" ref="C163:C176" si="37">$O$8</f>
        <v>495</v>
      </c>
      <c r="D163">
        <f t="shared" si="34"/>
        <v>465</v>
      </c>
      <c r="E163">
        <f t="shared" si="35"/>
        <v>545</v>
      </c>
      <c r="F163">
        <f>$G$4+'Data - DA'!D174</f>
        <v>598</v>
      </c>
      <c r="G163">
        <f t="shared" si="36"/>
        <v>600</v>
      </c>
      <c r="H163" t="str">
        <f>'Data - DA'!G174</f>
        <v xml:space="preserve">Aerobar Bolts: Top 25mm; Bottom N/A </v>
      </c>
    </row>
    <row r="164" spans="2:8" x14ac:dyDescent="0.25">
      <c r="B164" t="str">
        <f>TEXT($B$3,0) &amp;" ----- "&amp;'Data - DA'!B175</f>
        <v>Frame: 56 ----- Stem: 90x0  ----- Aluminium Aerobar + 10</v>
      </c>
      <c r="C164">
        <f t="shared" si="37"/>
        <v>495</v>
      </c>
      <c r="D164">
        <f t="shared" si="34"/>
        <v>465</v>
      </c>
      <c r="E164">
        <f t="shared" si="35"/>
        <v>545</v>
      </c>
      <c r="F164">
        <f>$G$4+'Data - DA'!D175</f>
        <v>603</v>
      </c>
      <c r="G164">
        <f t="shared" si="36"/>
        <v>605</v>
      </c>
      <c r="H164" t="str">
        <f>'Data - DA'!G175</f>
        <v xml:space="preserve">Aerobar Bolts: Top 30mm; Bottom N/A </v>
      </c>
    </row>
    <row r="165" spans="2:8" x14ac:dyDescent="0.25">
      <c r="B165" t="str">
        <f>TEXT($B$3,0) &amp;" ----- "&amp;'Data - DA'!B176</f>
        <v>Frame: 56 ----- Stem: 90x0  ----- Aluminium Aerobar + 5 + 10</v>
      </c>
      <c r="C165">
        <f t="shared" si="37"/>
        <v>495</v>
      </c>
      <c r="D165">
        <f t="shared" si="34"/>
        <v>465</v>
      </c>
      <c r="E165">
        <f t="shared" si="35"/>
        <v>545</v>
      </c>
      <c r="F165">
        <f>$G$4+'Data - DA'!D176</f>
        <v>608</v>
      </c>
      <c r="G165">
        <f t="shared" si="36"/>
        <v>610</v>
      </c>
      <c r="H165" t="str">
        <f>'Data - DA'!G176</f>
        <v xml:space="preserve">Aerobar Bolts: Top 35mm; Bottom N/A </v>
      </c>
    </row>
    <row r="166" spans="2:8" x14ac:dyDescent="0.25">
      <c r="B166" t="str">
        <f>TEXT($B$3,0) &amp;" ----- "&amp;'Data - DA'!B177</f>
        <v>Frame: 56 ----- Stem: 90x0  ----- Aluminium Aerobar + 20</v>
      </c>
      <c r="C166">
        <f t="shared" si="37"/>
        <v>495</v>
      </c>
      <c r="D166">
        <f t="shared" si="34"/>
        <v>465</v>
      </c>
      <c r="E166">
        <f t="shared" si="35"/>
        <v>545</v>
      </c>
      <c r="F166">
        <f>$G$4+'Data - DA'!D177</f>
        <v>613</v>
      </c>
      <c r="G166">
        <f t="shared" si="36"/>
        <v>615</v>
      </c>
      <c r="H166" t="str">
        <f>'Data - DA'!G177</f>
        <v xml:space="preserve">Aerobar Bolts: Top 20mm; Bottom 15mm </v>
      </c>
    </row>
    <row r="167" spans="2:8" x14ac:dyDescent="0.25">
      <c r="B167" t="str">
        <f>TEXT($B$3,0) &amp;" ----- "&amp;'Data - DA'!B178</f>
        <v>Frame: 56 ----- Stem: 90x0  ----- Aluminium Aerobar + 20 + 5</v>
      </c>
      <c r="C167">
        <f t="shared" si="37"/>
        <v>495</v>
      </c>
      <c r="D167">
        <f t="shared" si="34"/>
        <v>465</v>
      </c>
      <c r="E167">
        <f t="shared" si="35"/>
        <v>545</v>
      </c>
      <c r="F167">
        <f>$G$4+'Data - DA'!D178</f>
        <v>618</v>
      </c>
      <c r="G167">
        <f t="shared" si="36"/>
        <v>620</v>
      </c>
      <c r="H167" t="str">
        <f>'Data - DA'!G178</f>
        <v xml:space="preserve">Aerobar Bolts: Top 25mm; Bottom 15mm </v>
      </c>
    </row>
    <row r="168" spans="2:8" x14ac:dyDescent="0.25">
      <c r="B168" t="str">
        <f>TEXT($B$3,0) &amp;" ----- "&amp;'Data - DA'!B179</f>
        <v>Frame: 56 ----- Stem: 90x0  ----- Aluminium Aerobar + 20 + bridge</v>
      </c>
      <c r="C168">
        <f t="shared" si="37"/>
        <v>495</v>
      </c>
      <c r="D168">
        <f t="shared" si="34"/>
        <v>465</v>
      </c>
      <c r="E168">
        <f t="shared" si="35"/>
        <v>545</v>
      </c>
      <c r="F168">
        <f>$G$4+'Data - DA'!D179</f>
        <v>618</v>
      </c>
      <c r="G168">
        <f t="shared" si="36"/>
        <v>620</v>
      </c>
      <c r="H168" t="str">
        <f>'Data - DA'!G179</f>
        <v xml:space="preserve">Aerobar Bolts: Top 25mm; Bottom 15mm </v>
      </c>
    </row>
    <row r="169" spans="2:8" x14ac:dyDescent="0.25">
      <c r="B169" t="str">
        <f>TEXT($B$3,0) &amp;" ----- "&amp;'Data - DA'!B180</f>
        <v>Frame: 56 ----- Stem: 90x0  ----- Aluminium Aerobar + 30</v>
      </c>
      <c r="C169">
        <f t="shared" si="37"/>
        <v>495</v>
      </c>
      <c r="D169">
        <f t="shared" si="34"/>
        <v>465</v>
      </c>
      <c r="E169">
        <f t="shared" si="35"/>
        <v>545</v>
      </c>
      <c r="F169">
        <f>$G$4+'Data - DA'!D180</f>
        <v>623</v>
      </c>
      <c r="G169">
        <f t="shared" si="36"/>
        <v>625</v>
      </c>
      <c r="H169" t="str">
        <f>'Data - DA'!G180</f>
        <v xml:space="preserve">Aerobar Bolts: Top 25mm; Bottom 15mm </v>
      </c>
    </row>
    <row r="170" spans="2:8" x14ac:dyDescent="0.25">
      <c r="B170" t="str">
        <f>TEXT($B$3,0) &amp;" ----- "&amp;'Data - DA'!B181</f>
        <v>Frame: 56 ----- Stem: 90x0  ----- Aluminium Aerobar + 20 + bridge + 5</v>
      </c>
      <c r="C170">
        <f t="shared" si="37"/>
        <v>495</v>
      </c>
      <c r="D170">
        <f t="shared" si="34"/>
        <v>465</v>
      </c>
      <c r="E170">
        <f t="shared" si="35"/>
        <v>545</v>
      </c>
      <c r="F170">
        <f>$G$4+'Data - DA'!D181</f>
        <v>623</v>
      </c>
      <c r="G170">
        <f t="shared" si="36"/>
        <v>625</v>
      </c>
      <c r="H170" t="str">
        <f>'Data - DA'!G181</f>
        <v xml:space="preserve">Aerobar Bolts: Top 25mm; Bottom 15mm </v>
      </c>
    </row>
    <row r="171" spans="2:8" x14ac:dyDescent="0.25">
      <c r="B171" t="str">
        <f>TEXT($B$3,0) &amp;" ----- "&amp;'Data - DA'!B182</f>
        <v>Frame: 56 ----- Stem: 90x0  ----- Aluminium Aerobar + 30 + bridge</v>
      </c>
      <c r="C171">
        <f t="shared" si="37"/>
        <v>495</v>
      </c>
      <c r="D171">
        <f t="shared" si="34"/>
        <v>465</v>
      </c>
      <c r="E171">
        <f t="shared" si="35"/>
        <v>545</v>
      </c>
      <c r="F171">
        <f>$G$4+'Data - DA'!D182</f>
        <v>628</v>
      </c>
      <c r="G171">
        <f t="shared" si="36"/>
        <v>630</v>
      </c>
      <c r="H171" t="str">
        <f>'Data - DA'!G182</f>
        <v xml:space="preserve">Aerobar Bolts: Top 30mm; Bottom 15mm </v>
      </c>
    </row>
    <row r="172" spans="2:8" x14ac:dyDescent="0.25">
      <c r="B172" t="str">
        <f>TEXT($B$3,0) &amp;" ----- "&amp;'Data - DA'!B183</f>
        <v>Frame: 56 ----- Stem: 90x0  ----- Aluminium Aerobar + 30 + bridge + 5</v>
      </c>
      <c r="C172">
        <f t="shared" si="37"/>
        <v>495</v>
      </c>
      <c r="D172">
        <f t="shared" si="34"/>
        <v>465</v>
      </c>
      <c r="E172">
        <f t="shared" si="35"/>
        <v>545</v>
      </c>
      <c r="F172">
        <f>$G$4+'Data - DA'!D183</f>
        <v>633</v>
      </c>
      <c r="G172">
        <f t="shared" si="36"/>
        <v>635</v>
      </c>
      <c r="H172" t="str">
        <f>'Data - DA'!G183</f>
        <v xml:space="preserve">Aerobar Bolts: Top 30mm; Bottom 15mm </v>
      </c>
    </row>
    <row r="173" spans="2:8" x14ac:dyDescent="0.25">
      <c r="B173" t="str">
        <f>TEXT($B$3,0) &amp;" ----- "&amp;'Data - DA'!B184</f>
        <v>Frame: 56 ----- Stem: 90x0  ----- Aluminium Aerobar + 40 + bridge</v>
      </c>
      <c r="C173">
        <f t="shared" si="37"/>
        <v>495</v>
      </c>
      <c r="D173">
        <f t="shared" si="34"/>
        <v>465</v>
      </c>
      <c r="E173">
        <f t="shared" si="35"/>
        <v>545</v>
      </c>
      <c r="F173">
        <f>$G$4+'Data - DA'!D184</f>
        <v>638</v>
      </c>
      <c r="G173">
        <f t="shared" si="36"/>
        <v>640</v>
      </c>
      <c r="H173" t="str">
        <f>'Data - DA'!G184</f>
        <v xml:space="preserve">Aerobar Bolts: Top 35mm; Bottom 15mm </v>
      </c>
    </row>
    <row r="174" spans="2:8" x14ac:dyDescent="0.25">
      <c r="B174" t="str">
        <f>TEXT($B$3,0) &amp;" ----- "&amp;'Data - DA'!B185</f>
        <v>Frame: 56 ----- Stem: 90x0  ----- Aluminium Aerobar + 40 + bridge + 5</v>
      </c>
      <c r="C174">
        <f t="shared" si="37"/>
        <v>495</v>
      </c>
      <c r="D174">
        <f t="shared" si="34"/>
        <v>465</v>
      </c>
      <c r="E174">
        <f t="shared" si="35"/>
        <v>545</v>
      </c>
      <c r="F174">
        <f>$G$4+'Data - DA'!D185</f>
        <v>643</v>
      </c>
      <c r="G174">
        <f t="shared" si="36"/>
        <v>645</v>
      </c>
      <c r="H174" t="str">
        <f>'Data - DA'!G185</f>
        <v xml:space="preserve">Aerobar Bolts: Top 35mm; Bottom 15mm </v>
      </c>
    </row>
    <row r="175" spans="2:8" x14ac:dyDescent="0.25">
      <c r="B175" t="str">
        <f>TEXT($B$3,0) &amp;" ----- "&amp;'Data - DA'!B186</f>
        <v>Frame: 56 ----- Stem: 90x0  ----- Aluminium Aerobar + 40 + bridge + 10</v>
      </c>
      <c r="C175">
        <f t="shared" si="37"/>
        <v>495</v>
      </c>
      <c r="D175">
        <f t="shared" si="34"/>
        <v>465</v>
      </c>
      <c r="E175">
        <f t="shared" si="35"/>
        <v>545</v>
      </c>
      <c r="F175">
        <f>$G$4+'Data - DA'!D186</f>
        <v>648</v>
      </c>
      <c r="G175">
        <f t="shared" si="36"/>
        <v>650</v>
      </c>
      <c r="H175" t="str">
        <f>'Data - DA'!G186</f>
        <v xml:space="preserve">Aerobar Bolts: Top 35mm; Bottom 15mm </v>
      </c>
    </row>
    <row r="176" spans="2:8" x14ac:dyDescent="0.25">
      <c r="B176" t="str">
        <f>TEXT($B$3,0) &amp;" ----- "&amp;'Data - DA'!B187</f>
        <v>Frame: 56 ----- Stem: 90x0  ----- Aluminium Aerobar + 40 + bridge + 10 + 5</v>
      </c>
      <c r="C176">
        <f t="shared" si="37"/>
        <v>495</v>
      </c>
      <c r="D176">
        <f t="shared" si="34"/>
        <v>465</v>
      </c>
      <c r="E176">
        <f t="shared" si="35"/>
        <v>545</v>
      </c>
      <c r="F176">
        <f>$G$4+'Data - DA'!D187</f>
        <v>653</v>
      </c>
      <c r="G176">
        <f t="shared" si="36"/>
        <v>655</v>
      </c>
      <c r="H176" t="str">
        <f>'Data - DA'!G187</f>
        <v xml:space="preserve">Aerobar Bolts: Top 35mm; Bottom 25mm </v>
      </c>
    </row>
    <row r="177" spans="2:8" x14ac:dyDescent="0.25">
      <c r="B177" t="str">
        <f>TEXT($B$3,0) &amp;" ----- "&amp;'Data - DA'!B188</f>
        <v>Frame: 56 ----- Stem: 110x0  ----- Aluminium Aerobar</v>
      </c>
      <c r="C177">
        <f>$P$8</f>
        <v>515</v>
      </c>
      <c r="D177">
        <f t="shared" ref="D177:D191" si="38">$P$9</f>
        <v>485</v>
      </c>
      <c r="E177">
        <f t="shared" ref="E177:E191" si="39">$P$10</f>
        <v>565</v>
      </c>
      <c r="F177">
        <f>$G$4+'Data - DA'!D188</f>
        <v>593</v>
      </c>
      <c r="G177">
        <f t="shared" si="36"/>
        <v>595</v>
      </c>
      <c r="H177" t="str">
        <f>'Data - DA'!G188</f>
        <v xml:space="preserve">Aerobar Bolts: Top 20mm; Bottom N/A </v>
      </c>
    </row>
    <row r="178" spans="2:8" x14ac:dyDescent="0.25">
      <c r="B178" t="str">
        <f>TEXT($B$3,0) &amp;" ----- "&amp;'Data - DA'!B189</f>
        <v>Frame: 56 ----- Stem: 110x0  ----- Aluminium Aerobar + 5</v>
      </c>
      <c r="C178">
        <f t="shared" ref="C178:C191" si="40">$P$8</f>
        <v>515</v>
      </c>
      <c r="D178">
        <f t="shared" si="38"/>
        <v>485</v>
      </c>
      <c r="E178">
        <f t="shared" si="39"/>
        <v>565</v>
      </c>
      <c r="F178">
        <f>$G$4+'Data - DA'!D189</f>
        <v>598</v>
      </c>
      <c r="G178">
        <f t="shared" si="36"/>
        <v>600</v>
      </c>
      <c r="H178" t="str">
        <f>'Data - DA'!G189</f>
        <v xml:space="preserve">Aerobar Bolts: Top 25mm; Bottom N/A </v>
      </c>
    </row>
    <row r="179" spans="2:8" x14ac:dyDescent="0.25">
      <c r="B179" t="str">
        <f>TEXT($B$3,0) &amp;" ----- "&amp;'Data - DA'!B190</f>
        <v>Frame: 56 ----- Stem: 110x0  ----- Aluminium Aerobar + 10</v>
      </c>
      <c r="C179">
        <f t="shared" si="40"/>
        <v>515</v>
      </c>
      <c r="D179">
        <f t="shared" si="38"/>
        <v>485</v>
      </c>
      <c r="E179">
        <f t="shared" si="39"/>
        <v>565</v>
      </c>
      <c r="F179">
        <f>$G$4+'Data - DA'!D190</f>
        <v>603</v>
      </c>
      <c r="G179">
        <f t="shared" si="36"/>
        <v>605</v>
      </c>
      <c r="H179" t="str">
        <f>'Data - DA'!G190</f>
        <v xml:space="preserve">Aerobar Bolts: Top 30mm; Bottom N/A </v>
      </c>
    </row>
    <row r="180" spans="2:8" x14ac:dyDescent="0.25">
      <c r="B180" t="str">
        <f>TEXT($B$3,0) &amp;" ----- "&amp;'Data - DA'!B191</f>
        <v>Frame: 56 ----- Stem: 110x0  ----- Aluminium Aerobar + 5 + 10</v>
      </c>
      <c r="C180">
        <f t="shared" si="40"/>
        <v>515</v>
      </c>
      <c r="D180">
        <f t="shared" si="38"/>
        <v>485</v>
      </c>
      <c r="E180">
        <f t="shared" si="39"/>
        <v>565</v>
      </c>
      <c r="F180">
        <f>$G$4+'Data - DA'!D191</f>
        <v>609</v>
      </c>
      <c r="G180">
        <f t="shared" si="36"/>
        <v>610</v>
      </c>
      <c r="H180" t="str">
        <f>'Data - DA'!G191</f>
        <v xml:space="preserve">Aerobar Bolts: Top 35mm; Bottom N/A </v>
      </c>
    </row>
    <row r="181" spans="2:8" x14ac:dyDescent="0.25">
      <c r="B181" t="str">
        <f>TEXT($B$3,0) &amp;" ----- "&amp;'Data - DA'!B192</f>
        <v>Frame: 56 ----- Stem: 110x0  ----- Aluminium Aerobar + 20</v>
      </c>
      <c r="C181">
        <f t="shared" si="40"/>
        <v>515</v>
      </c>
      <c r="D181">
        <f t="shared" si="38"/>
        <v>485</v>
      </c>
      <c r="E181">
        <f t="shared" si="39"/>
        <v>565</v>
      </c>
      <c r="F181">
        <f>$G$4+'Data - DA'!D192</f>
        <v>613</v>
      </c>
      <c r="G181">
        <f t="shared" si="36"/>
        <v>615</v>
      </c>
      <c r="H181" t="str">
        <f>'Data - DA'!G192</f>
        <v xml:space="preserve">Aerobar Bolts: Top 20mm; Bottom 15mm </v>
      </c>
    </row>
    <row r="182" spans="2:8" x14ac:dyDescent="0.25">
      <c r="B182" t="str">
        <f>TEXT($B$3,0) &amp;" ----- "&amp;'Data - DA'!B193</f>
        <v>Frame: 56 ----- Stem: 110x0  ----- Aluminium Aerobar + 20 + 5</v>
      </c>
      <c r="C182">
        <f t="shared" si="40"/>
        <v>515</v>
      </c>
      <c r="D182">
        <f t="shared" si="38"/>
        <v>485</v>
      </c>
      <c r="E182">
        <f t="shared" si="39"/>
        <v>565</v>
      </c>
      <c r="F182">
        <f>$G$4+'Data - DA'!D193</f>
        <v>618</v>
      </c>
      <c r="G182">
        <f t="shared" si="36"/>
        <v>620</v>
      </c>
      <c r="H182" t="str">
        <f>'Data - DA'!G193</f>
        <v xml:space="preserve">Aerobar Bolts: Top 25mm; Bottom 15mm </v>
      </c>
    </row>
    <row r="183" spans="2:8" x14ac:dyDescent="0.25">
      <c r="B183" t="str">
        <f>TEXT($B$3,0) &amp;" ----- "&amp;'Data - DA'!B194</f>
        <v>Frame: 56 ----- Stem: 110x0  ----- Aluminium Aerobar + 20 + bridge</v>
      </c>
      <c r="C183">
        <f t="shared" si="40"/>
        <v>515</v>
      </c>
      <c r="D183">
        <f t="shared" si="38"/>
        <v>485</v>
      </c>
      <c r="E183">
        <f t="shared" si="39"/>
        <v>565</v>
      </c>
      <c r="F183">
        <f>$G$4+'Data - DA'!D194</f>
        <v>618</v>
      </c>
      <c r="G183">
        <f t="shared" si="36"/>
        <v>620</v>
      </c>
      <c r="H183" t="str">
        <f>'Data - DA'!G194</f>
        <v xml:space="preserve">Aerobar Bolts: Top 25mm; Bottom 15mm </v>
      </c>
    </row>
    <row r="184" spans="2:8" x14ac:dyDescent="0.25">
      <c r="B184" t="str">
        <f>TEXT($B$3,0) &amp;" ----- "&amp;'Data - DA'!B195</f>
        <v>Frame: 56 ----- Stem: 110x0  ----- Aluminium Aerobar + 30</v>
      </c>
      <c r="C184">
        <f t="shared" si="40"/>
        <v>515</v>
      </c>
      <c r="D184">
        <f t="shared" si="38"/>
        <v>485</v>
      </c>
      <c r="E184">
        <f t="shared" si="39"/>
        <v>565</v>
      </c>
      <c r="F184">
        <f>$G$4+'Data - DA'!D195</f>
        <v>623</v>
      </c>
      <c r="G184">
        <f t="shared" si="36"/>
        <v>625</v>
      </c>
      <c r="H184" t="str">
        <f>'Data - DA'!G195</f>
        <v xml:space="preserve">Aerobar Bolts: Top 25mm; Bottom 15mm </v>
      </c>
    </row>
    <row r="185" spans="2:8" x14ac:dyDescent="0.25">
      <c r="B185" t="str">
        <f>TEXT($B$3,0) &amp;" ----- "&amp;'Data - DA'!B196</f>
        <v>Frame: 56 ----- Stem: 110x0  ----- Aluminium Aerobar + 20 + bridge + 5</v>
      </c>
      <c r="C185">
        <f t="shared" si="40"/>
        <v>515</v>
      </c>
      <c r="D185">
        <f t="shared" si="38"/>
        <v>485</v>
      </c>
      <c r="E185">
        <f t="shared" si="39"/>
        <v>565</v>
      </c>
      <c r="F185">
        <f>$G$4+'Data - DA'!D196</f>
        <v>623</v>
      </c>
      <c r="G185">
        <f t="shared" si="36"/>
        <v>625</v>
      </c>
      <c r="H185" t="str">
        <f>'Data - DA'!G196</f>
        <v xml:space="preserve">Aerobar Bolts: Top 25mm; Bottom 15mm </v>
      </c>
    </row>
    <row r="186" spans="2:8" x14ac:dyDescent="0.25">
      <c r="B186" t="str">
        <f>TEXT($B$3,0) &amp;" ----- "&amp;'Data - DA'!B197</f>
        <v>Frame: 56 ----- Stem: 110x0  ----- Aluminium Aerobar + 30 + bridge</v>
      </c>
      <c r="C186">
        <f t="shared" si="40"/>
        <v>515</v>
      </c>
      <c r="D186">
        <f t="shared" si="38"/>
        <v>485</v>
      </c>
      <c r="E186">
        <f t="shared" si="39"/>
        <v>565</v>
      </c>
      <c r="F186">
        <f>$G$4+'Data - DA'!D197</f>
        <v>628</v>
      </c>
      <c r="G186">
        <f t="shared" si="36"/>
        <v>630</v>
      </c>
      <c r="H186" t="str">
        <f>'Data - DA'!G197</f>
        <v xml:space="preserve">Aerobar Bolts: Top 30mm; Bottom 15mm </v>
      </c>
    </row>
    <row r="187" spans="2:8" x14ac:dyDescent="0.25">
      <c r="B187" t="str">
        <f>TEXT($B$3,0) &amp;" ----- "&amp;'Data - DA'!B198</f>
        <v>Frame: 56 ----- Stem: 110x0  ----- Aluminium Aerobar + 30 + bridge + 5</v>
      </c>
      <c r="C187">
        <f t="shared" si="40"/>
        <v>515</v>
      </c>
      <c r="D187">
        <f t="shared" si="38"/>
        <v>485</v>
      </c>
      <c r="E187">
        <f t="shared" si="39"/>
        <v>565</v>
      </c>
      <c r="F187">
        <f>$G$4+'Data - DA'!D198</f>
        <v>633</v>
      </c>
      <c r="G187">
        <f t="shared" si="36"/>
        <v>635</v>
      </c>
      <c r="H187" t="str">
        <f>'Data - DA'!G198</f>
        <v xml:space="preserve">Aerobar Bolts: Top 30mm; Bottom 15mm </v>
      </c>
    </row>
    <row r="188" spans="2:8" x14ac:dyDescent="0.25">
      <c r="B188" t="str">
        <f>TEXT($B$3,0) &amp;" ----- "&amp;'Data - DA'!B199</f>
        <v>Frame: 56 ----- Stem: 110x0  ----- Aluminium Aerobar + 40 + bridge</v>
      </c>
      <c r="C188">
        <f t="shared" si="40"/>
        <v>515</v>
      </c>
      <c r="D188">
        <f t="shared" si="38"/>
        <v>485</v>
      </c>
      <c r="E188">
        <f t="shared" si="39"/>
        <v>565</v>
      </c>
      <c r="F188">
        <f>$G$4+'Data - DA'!D199</f>
        <v>638</v>
      </c>
      <c r="G188">
        <f t="shared" si="36"/>
        <v>640</v>
      </c>
      <c r="H188" t="str">
        <f>'Data - DA'!G199</f>
        <v xml:space="preserve">Aerobar Bolts: Top 35mm; Bottom 15mm </v>
      </c>
    </row>
    <row r="189" spans="2:8" x14ac:dyDescent="0.25">
      <c r="B189" t="str">
        <f>TEXT($B$3,0) &amp;" ----- "&amp;'Data - DA'!B200</f>
        <v>Frame: 56 ----- Stem: 110x0  ----- Aluminium Aerobar + 40 + bridge + 5</v>
      </c>
      <c r="C189">
        <f t="shared" si="40"/>
        <v>515</v>
      </c>
      <c r="D189">
        <f t="shared" si="38"/>
        <v>485</v>
      </c>
      <c r="E189">
        <f t="shared" si="39"/>
        <v>565</v>
      </c>
      <c r="F189">
        <f>$G$4+'Data - DA'!D200</f>
        <v>643</v>
      </c>
      <c r="G189">
        <f t="shared" si="36"/>
        <v>645</v>
      </c>
      <c r="H189" t="str">
        <f>'Data - DA'!G200</f>
        <v xml:space="preserve">Aerobar Bolts: Top 35mm; Bottom 15mm </v>
      </c>
    </row>
    <row r="190" spans="2:8" x14ac:dyDescent="0.25">
      <c r="B190" t="str">
        <f>TEXT($B$3,0) &amp;" ----- "&amp;'Data - DA'!B201</f>
        <v>Frame: 56 ----- Stem: 110x0  ----- Aluminium Aerobar + 40 + bridge + 10</v>
      </c>
      <c r="C190">
        <f t="shared" si="40"/>
        <v>515</v>
      </c>
      <c r="D190">
        <f t="shared" si="38"/>
        <v>485</v>
      </c>
      <c r="E190">
        <f t="shared" si="39"/>
        <v>565</v>
      </c>
      <c r="F190">
        <f>$G$4+'Data - DA'!D201</f>
        <v>648</v>
      </c>
      <c r="G190">
        <f t="shared" si="36"/>
        <v>650</v>
      </c>
      <c r="H190" t="str">
        <f>'Data - DA'!G201</f>
        <v xml:space="preserve">Aerobar Bolts: Top 35mm; Bottom 15mm </v>
      </c>
    </row>
    <row r="191" spans="2:8" x14ac:dyDescent="0.25">
      <c r="B191" t="str">
        <f>TEXT($B$3,0) &amp;" ----- "&amp;'Data - DA'!B202</f>
        <v>Frame: 56 ----- Stem: 110x0  ----- Aluminium Aerobar + 40 + bridge + 10 + 5</v>
      </c>
      <c r="C191">
        <f t="shared" si="40"/>
        <v>515</v>
      </c>
      <c r="D191">
        <f t="shared" si="38"/>
        <v>485</v>
      </c>
      <c r="E191">
        <f t="shared" si="39"/>
        <v>565</v>
      </c>
      <c r="F191">
        <f>$G$4+'Data - DA'!D202</f>
        <v>653</v>
      </c>
      <c r="G191">
        <f t="shared" si="36"/>
        <v>655</v>
      </c>
      <c r="H191" t="str">
        <f>'Data - DA'!G202</f>
        <v xml:space="preserve">Aerobar Bolts: Top 35mm; Bottom 25mm </v>
      </c>
    </row>
  </sheetData>
  <pageMargins left="0.7" right="0.7" top="0.75" bottom="0.75" header="0.3" footer="0.3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2:P191"/>
  <sheetViews>
    <sheetView zoomScale="70" zoomScaleNormal="70" workbookViewId="0">
      <selection activeCell="B1" sqref="B1:B1048576"/>
    </sheetView>
  </sheetViews>
  <sheetFormatPr defaultRowHeight="15" x14ac:dyDescent="0.25"/>
  <cols>
    <col min="2" max="2" width="60.5703125" customWidth="1"/>
    <col min="3" max="3" width="14.85546875" bestFit="1" customWidth="1"/>
    <col min="4" max="4" width="11.42578125" bestFit="1" customWidth="1"/>
    <col min="5" max="5" width="12" bestFit="1" customWidth="1"/>
    <col min="8" max="8" width="7.140625" customWidth="1"/>
    <col min="9" max="9" width="9.140625" customWidth="1"/>
    <col min="10" max="10" width="14.7109375" customWidth="1"/>
    <col min="13" max="13" width="17.42578125" customWidth="1"/>
    <col min="14" max="14" width="12.5703125" customWidth="1"/>
  </cols>
  <sheetData>
    <row r="2" spans="2:16" x14ac:dyDescent="0.25">
      <c r="B2" t="s">
        <v>12</v>
      </c>
    </row>
    <row r="3" spans="2:16" x14ac:dyDescent="0.25">
      <c r="B3" t="s">
        <v>99</v>
      </c>
      <c r="F3" t="s">
        <v>2</v>
      </c>
      <c r="G3" t="s">
        <v>1</v>
      </c>
    </row>
    <row r="4" spans="2:16" x14ac:dyDescent="0.25">
      <c r="F4">
        <f>'Data - DA'!C6</f>
        <v>416</v>
      </c>
      <c r="G4">
        <f>'Data - DA'!D6</f>
        <v>497</v>
      </c>
    </row>
    <row r="6" spans="2:16" x14ac:dyDescent="0.25">
      <c r="J6" s="1" t="s">
        <v>2</v>
      </c>
      <c r="K6" t="str">
        <f>'Data - DA'!T7</f>
        <v>70x30</v>
      </c>
      <c r="L6" t="str">
        <f>'Data - DA'!U7</f>
        <v>70x60</v>
      </c>
      <c r="M6" t="str">
        <f>'Data - DA'!V7</f>
        <v>100x30</v>
      </c>
      <c r="N6" t="str">
        <f>'Data - DA'!W7</f>
        <v>100x60</v>
      </c>
      <c r="O6" t="str">
        <f>'Data - DA'!X7</f>
        <v>90x0</v>
      </c>
      <c r="P6" t="str">
        <f>'Data - DA'!Y7</f>
        <v>110x0</v>
      </c>
    </row>
    <row r="7" spans="2:16" x14ac:dyDescent="0.25">
      <c r="F7" t="s">
        <v>1</v>
      </c>
      <c r="J7" t="s">
        <v>70</v>
      </c>
      <c r="K7">
        <f>'Data - DA'!T10</f>
        <v>453</v>
      </c>
      <c r="L7">
        <f>'Data - DA'!U10</f>
        <v>443</v>
      </c>
      <c r="M7">
        <f>'Data - DA'!V10</f>
        <v>483</v>
      </c>
      <c r="N7">
        <f>'Data - DA'!W10</f>
        <v>474</v>
      </c>
      <c r="O7">
        <f>'Data - DA'!X10</f>
        <v>478</v>
      </c>
      <c r="P7">
        <f>'Data - DA'!Y10</f>
        <v>498</v>
      </c>
    </row>
    <row r="8" spans="2:16" x14ac:dyDescent="0.25">
      <c r="J8" t="s">
        <v>76</v>
      </c>
      <c r="K8">
        <f>'Data - DA'!T16</f>
        <v>455</v>
      </c>
      <c r="L8">
        <f>'Data - DA'!U16</f>
        <v>445</v>
      </c>
      <c r="M8">
        <f>'Data - DA'!V16</f>
        <v>485</v>
      </c>
      <c r="N8">
        <f>'Data - DA'!W16</f>
        <v>475</v>
      </c>
      <c r="O8">
        <f>'Data - DA'!X16</f>
        <v>480</v>
      </c>
      <c r="P8">
        <f>'Data - DA'!Y16</f>
        <v>500</v>
      </c>
    </row>
    <row r="9" spans="2:16" x14ac:dyDescent="0.25">
      <c r="J9" t="s">
        <v>21</v>
      </c>
      <c r="K9">
        <f>'Data - DA'!T22</f>
        <v>425</v>
      </c>
      <c r="L9">
        <f>'Data - DA'!U22</f>
        <v>415</v>
      </c>
      <c r="M9">
        <f>'Data - DA'!V22</f>
        <v>455</v>
      </c>
      <c r="N9">
        <f>'Data - DA'!W22</f>
        <v>445</v>
      </c>
      <c r="O9">
        <f>'Data - DA'!X22</f>
        <v>450</v>
      </c>
      <c r="P9">
        <f>'Data - DA'!Y22</f>
        <v>470</v>
      </c>
    </row>
    <row r="10" spans="2:16" x14ac:dyDescent="0.25">
      <c r="J10" t="s">
        <v>22</v>
      </c>
      <c r="K10">
        <f>'Data - DA'!T28</f>
        <v>505</v>
      </c>
      <c r="L10">
        <f>'Data - DA'!U28</f>
        <v>495</v>
      </c>
      <c r="M10">
        <f>'Data - DA'!V28</f>
        <v>535</v>
      </c>
      <c r="N10">
        <f>'Data - DA'!W28</f>
        <v>525</v>
      </c>
      <c r="O10">
        <f>'Data - DA'!X28</f>
        <v>530</v>
      </c>
      <c r="P10">
        <f>'Data - DA'!Y28</f>
        <v>550</v>
      </c>
    </row>
    <row r="11" spans="2:16" x14ac:dyDescent="0.25">
      <c r="C11" t="s">
        <v>82</v>
      </c>
      <c r="D11" t="s">
        <v>15</v>
      </c>
      <c r="E11" t="s">
        <v>16</v>
      </c>
    </row>
    <row r="12" spans="2:16" x14ac:dyDescent="0.25">
      <c r="B12" t="str">
        <f>TEXT($B$3,0) &amp;" ----- "&amp;'Data - DA'!B23</f>
        <v>Frame: 54 ----- Stem: 70x30  ----- Carbon Aerobar</v>
      </c>
      <c r="C12">
        <f>$K$8</f>
        <v>455</v>
      </c>
      <c r="D12">
        <f t="shared" ref="D12:D26" si="0">$K$9</f>
        <v>425</v>
      </c>
      <c r="E12">
        <f t="shared" ref="E12:E26" si="1">$K$10</f>
        <v>505</v>
      </c>
      <c r="G12">
        <f t="shared" ref="G12:G56" si="2">ROUND(F12/5,0)*5</f>
        <v>0</v>
      </c>
      <c r="H12" t="str">
        <f>'Data - DA'!G23</f>
        <v xml:space="preserve">Aerobar Bolts: Top N/A; Bottom N/A </v>
      </c>
    </row>
    <row r="13" spans="2:16" x14ac:dyDescent="0.25">
      <c r="B13" t="str">
        <f>TEXT($B$3,0) &amp;" ----- "&amp;'Data - DA'!B24</f>
        <v>Frame: 54 ----- Stem: 70x30  ----- Carbon Aerobar + 5</v>
      </c>
      <c r="C13">
        <f t="shared" ref="C13:C26" si="3">$K$8</f>
        <v>455</v>
      </c>
      <c r="D13">
        <f t="shared" si="0"/>
        <v>425</v>
      </c>
      <c r="E13">
        <f t="shared" si="1"/>
        <v>505</v>
      </c>
      <c r="F13">
        <f>$G$4+'Data - DA'!D24</f>
        <v>595</v>
      </c>
      <c r="G13">
        <f t="shared" si="2"/>
        <v>595</v>
      </c>
      <c r="H13" t="str">
        <f>'Data - DA'!G24</f>
        <v xml:space="preserve">Aerobar Bolts: Top 45mm; Bottom N/A </v>
      </c>
    </row>
    <row r="14" spans="2:16" x14ac:dyDescent="0.25">
      <c r="B14" t="str">
        <f>TEXT($B$3,0) &amp;" ----- "&amp;'Data - DA'!B25</f>
        <v>Frame: 54 ----- Stem: 70x30  ----- Carbon Aerobar + 10</v>
      </c>
      <c r="C14">
        <f t="shared" si="3"/>
        <v>455</v>
      </c>
      <c r="D14">
        <f t="shared" si="0"/>
        <v>425</v>
      </c>
      <c r="E14">
        <f t="shared" si="1"/>
        <v>505</v>
      </c>
      <c r="F14">
        <f>$G$4+'Data - DA'!D25</f>
        <v>600</v>
      </c>
      <c r="G14">
        <f t="shared" si="2"/>
        <v>600</v>
      </c>
      <c r="H14" t="str">
        <f>'Data - DA'!G25</f>
        <v xml:space="preserve">Aerobar Bolts: Top 50mm; Bottom N/A </v>
      </c>
    </row>
    <row r="15" spans="2:16" x14ac:dyDescent="0.25">
      <c r="B15" t="str">
        <f>TEXT($B$3,0) &amp;" ----- "&amp;'Data - DA'!B26</f>
        <v>Frame: 54 ----- Stem: 70x30  ----- Carbon Aerobar + 5 + 10</v>
      </c>
      <c r="C15">
        <f t="shared" si="3"/>
        <v>455</v>
      </c>
      <c r="D15">
        <f t="shared" si="0"/>
        <v>425</v>
      </c>
      <c r="E15">
        <f t="shared" si="1"/>
        <v>505</v>
      </c>
      <c r="F15">
        <f>$G$4+'Data - DA'!D26</f>
        <v>605</v>
      </c>
      <c r="G15">
        <f t="shared" si="2"/>
        <v>605</v>
      </c>
      <c r="H15" t="str">
        <f>'Data - DA'!G26</f>
        <v xml:space="preserve">Aerobar Bolts: Top 55mm; Bottom N/A </v>
      </c>
    </row>
    <row r="16" spans="2:16" x14ac:dyDescent="0.25">
      <c r="B16" t="str">
        <f>TEXT($B$3,0) &amp;" ----- "&amp;'Data - DA'!B27</f>
        <v>Frame: 54 ----- Stem: 70x30  ----- Carbon Aerobar + 20</v>
      </c>
      <c r="C16">
        <f>$K$8</f>
        <v>455</v>
      </c>
      <c r="D16">
        <f t="shared" si="0"/>
        <v>425</v>
      </c>
      <c r="E16">
        <f t="shared" si="1"/>
        <v>505</v>
      </c>
      <c r="F16">
        <f>$G$4+'Data - DA'!D27</f>
        <v>610</v>
      </c>
      <c r="G16">
        <f t="shared" si="2"/>
        <v>610</v>
      </c>
      <c r="H16" t="str">
        <f>'Data - DA'!G27</f>
        <v xml:space="preserve">Aerobar Bolts: Top 20mm; Bottom 30mm </v>
      </c>
    </row>
    <row r="17" spans="2:8" x14ac:dyDescent="0.25">
      <c r="B17" t="str">
        <f>TEXT($B$3,0) &amp;" ----- "&amp;'Data - DA'!B28</f>
        <v>Frame: 54 ----- Stem: 70x30  ----- Carbon Aerobar + 20 + 5</v>
      </c>
      <c r="C17">
        <f t="shared" si="3"/>
        <v>455</v>
      </c>
      <c r="D17">
        <f t="shared" si="0"/>
        <v>425</v>
      </c>
      <c r="E17">
        <f t="shared" si="1"/>
        <v>505</v>
      </c>
      <c r="F17">
        <f>$G$4+'Data - DA'!D28</f>
        <v>615</v>
      </c>
      <c r="G17">
        <f t="shared" si="2"/>
        <v>615</v>
      </c>
      <c r="H17" t="str">
        <f>'Data - DA'!G28</f>
        <v xml:space="preserve">Aerobar Bolts: Top 25mm; Bottom 30mm </v>
      </c>
    </row>
    <row r="18" spans="2:8" x14ac:dyDescent="0.25">
      <c r="B18" t="str">
        <f>TEXT($B$3,0) &amp;" ----- "&amp;'Data - DA'!B29</f>
        <v>Frame: 54 ----- Stem: 70x30  ----- Carbon Aerobar + 20 + bridge</v>
      </c>
      <c r="C18">
        <f t="shared" si="3"/>
        <v>455</v>
      </c>
      <c r="D18">
        <f t="shared" si="0"/>
        <v>425</v>
      </c>
      <c r="E18">
        <f t="shared" si="1"/>
        <v>505</v>
      </c>
      <c r="F18">
        <f>$G$4+'Data - DA'!D29</f>
        <v>615</v>
      </c>
      <c r="G18">
        <f t="shared" si="2"/>
        <v>615</v>
      </c>
      <c r="H18" t="str">
        <f>'Data - DA'!G29</f>
        <v xml:space="preserve">Aerobar Bolts: Top 25mm; Bottom 30mm </v>
      </c>
    </row>
    <row r="19" spans="2:8" x14ac:dyDescent="0.25">
      <c r="B19" t="str">
        <f>TEXT($B$3,0) &amp;" ----- "&amp;'Data - DA'!B30</f>
        <v>Frame: 54 ----- Stem: 70x30  ----- Carbon Aerobar + 30</v>
      </c>
      <c r="C19">
        <f t="shared" si="3"/>
        <v>455</v>
      </c>
      <c r="D19">
        <f t="shared" si="0"/>
        <v>425</v>
      </c>
      <c r="E19">
        <f t="shared" si="1"/>
        <v>505</v>
      </c>
      <c r="F19">
        <f>$G$4+'Data - DA'!D30</f>
        <v>620</v>
      </c>
      <c r="G19">
        <f t="shared" si="2"/>
        <v>620</v>
      </c>
      <c r="H19" t="str">
        <f>'Data - DA'!G30</f>
        <v xml:space="preserve">Aerobar Bolts: Top 25mm; Bottom 30mm </v>
      </c>
    </row>
    <row r="20" spans="2:8" x14ac:dyDescent="0.25">
      <c r="B20" t="str">
        <f>TEXT($B$3,0) &amp;" ----- "&amp;'Data - DA'!B31</f>
        <v>Frame: 54 ----- Stem: 70x30  ----- Carbon Aerobar + 20 + bridge + 5</v>
      </c>
      <c r="C20">
        <f t="shared" si="3"/>
        <v>455</v>
      </c>
      <c r="D20">
        <f t="shared" si="0"/>
        <v>425</v>
      </c>
      <c r="E20">
        <f t="shared" si="1"/>
        <v>505</v>
      </c>
      <c r="F20">
        <f>$G$4+'Data - DA'!D31</f>
        <v>620</v>
      </c>
      <c r="G20">
        <f t="shared" si="2"/>
        <v>620</v>
      </c>
      <c r="H20" t="str">
        <f>'Data - DA'!G31</f>
        <v xml:space="preserve">Aerobar Bolts: Top 30mm; Bottom 30mm </v>
      </c>
    </row>
    <row r="21" spans="2:8" x14ac:dyDescent="0.25">
      <c r="B21" t="str">
        <f>TEXT($B$3,0) &amp;" ----- "&amp;'Data - DA'!B32</f>
        <v>Frame: 54 ----- Stem: 70x30  ----- Carbon Aerobar + 30 + bridge</v>
      </c>
      <c r="C21">
        <f t="shared" si="3"/>
        <v>455</v>
      </c>
      <c r="D21">
        <f t="shared" si="0"/>
        <v>425</v>
      </c>
      <c r="E21">
        <f t="shared" si="1"/>
        <v>505</v>
      </c>
      <c r="F21">
        <f>$G$4+'Data - DA'!D32</f>
        <v>625</v>
      </c>
      <c r="G21">
        <f t="shared" si="2"/>
        <v>625</v>
      </c>
      <c r="H21" t="str">
        <f>'Data - DA'!G32</f>
        <v xml:space="preserve">Aerobar Bolts: Top 30mm; Bottom 30mm </v>
      </c>
    </row>
    <row r="22" spans="2:8" x14ac:dyDescent="0.25">
      <c r="B22" t="str">
        <f>TEXT($B$3,0) &amp;" ----- "&amp;'Data - DA'!B33</f>
        <v>Frame: 54 ----- Stem: 70x30  ----- Carbon Aerobar + 30 + bridge + 5</v>
      </c>
      <c r="C22">
        <f t="shared" si="3"/>
        <v>455</v>
      </c>
      <c r="D22">
        <f t="shared" si="0"/>
        <v>425</v>
      </c>
      <c r="E22">
        <f t="shared" si="1"/>
        <v>505</v>
      </c>
      <c r="F22">
        <f>$G$4+'Data - DA'!D33</f>
        <v>630</v>
      </c>
      <c r="G22">
        <f t="shared" si="2"/>
        <v>630</v>
      </c>
      <c r="H22" t="str">
        <f>'Data - DA'!G33</f>
        <v xml:space="preserve">Aerobar Bolts: Top 35mm; Bottom 30mm </v>
      </c>
    </row>
    <row r="23" spans="2:8" x14ac:dyDescent="0.25">
      <c r="B23" t="str">
        <f>TEXT($B$3,0) &amp;" ----- "&amp;'Data - DA'!B34</f>
        <v>Frame: 54 ----- Stem: 70x30  ----- Carbon Aerobar + 40 + bridge</v>
      </c>
      <c r="C23">
        <f t="shared" si="3"/>
        <v>455</v>
      </c>
      <c r="D23">
        <f t="shared" si="0"/>
        <v>425</v>
      </c>
      <c r="E23">
        <f t="shared" si="1"/>
        <v>505</v>
      </c>
      <c r="F23">
        <f>$G$4+'Data - DA'!D34</f>
        <v>635</v>
      </c>
      <c r="G23">
        <f t="shared" si="2"/>
        <v>635</v>
      </c>
      <c r="H23" t="str">
        <f>'Data - DA'!G34</f>
        <v xml:space="preserve">Aerobar Bolts: Top 35mm; Bottom 30mm </v>
      </c>
    </row>
    <row r="24" spans="2:8" x14ac:dyDescent="0.25">
      <c r="B24" t="str">
        <f>TEXT($B$3,0) &amp;" ----- "&amp;'Data - DA'!B35</f>
        <v>Frame: 54 ----- Stem: 70x30  ----- Carbon Aerobar + 40 + bridge + 5</v>
      </c>
      <c r="C24">
        <f t="shared" si="3"/>
        <v>455</v>
      </c>
      <c r="D24">
        <f t="shared" si="0"/>
        <v>425</v>
      </c>
      <c r="E24">
        <f t="shared" si="1"/>
        <v>505</v>
      </c>
      <c r="F24">
        <f>$G$4+'Data - DA'!D35</f>
        <v>640</v>
      </c>
      <c r="G24">
        <f t="shared" si="2"/>
        <v>640</v>
      </c>
      <c r="H24" t="str">
        <f>'Data - DA'!G35</f>
        <v xml:space="preserve">Aerobar Bolts: Top 35mm; Bottom 30mm </v>
      </c>
    </row>
    <row r="25" spans="2:8" x14ac:dyDescent="0.25">
      <c r="B25" t="str">
        <f>TEXT($B$3,0) &amp;" ----- "&amp;'Data - DA'!B36</f>
        <v>Frame: 54 ----- Stem: 70x30  ----- Carbon Aerobar + 40 + bridge + 10</v>
      </c>
      <c r="C25">
        <f t="shared" si="3"/>
        <v>455</v>
      </c>
      <c r="D25">
        <f t="shared" si="0"/>
        <v>425</v>
      </c>
      <c r="E25">
        <f t="shared" si="1"/>
        <v>505</v>
      </c>
      <c r="F25">
        <f>$G$4+'Data - DA'!D36</f>
        <v>645</v>
      </c>
      <c r="G25">
        <f t="shared" si="2"/>
        <v>645</v>
      </c>
      <c r="H25" t="str">
        <f>'Data - DA'!G36</f>
        <v xml:space="preserve">Aerobar Bolts: Top 40mm; Bottom 30mm </v>
      </c>
    </row>
    <row r="26" spans="2:8" x14ac:dyDescent="0.25">
      <c r="B26" t="str">
        <f>TEXT($B$3,0) &amp;" ----- "&amp;'Data - DA'!B37</f>
        <v>Frame: 54 ----- Stem: 70x30  ----- Carbon Aerobar + 40 + bridge + 10 + 5</v>
      </c>
      <c r="C26">
        <f t="shared" si="3"/>
        <v>455</v>
      </c>
      <c r="D26">
        <f t="shared" si="0"/>
        <v>425</v>
      </c>
      <c r="E26">
        <f t="shared" si="1"/>
        <v>505</v>
      </c>
      <c r="F26">
        <f>$G$4+'Data - DA'!D37</f>
        <v>650</v>
      </c>
      <c r="G26">
        <f t="shared" si="2"/>
        <v>650</v>
      </c>
      <c r="H26" t="str">
        <f>'Data - DA'!G37</f>
        <v xml:space="preserve">Aerobar Bolts: Top 45mm; Bottom 30mm </v>
      </c>
    </row>
    <row r="27" spans="2:8" x14ac:dyDescent="0.25">
      <c r="B27" t="str">
        <f>TEXT($B$3,0) &amp;" ----- "&amp;'Data - DA'!B38</f>
        <v>Frame: 54 ----- Stem: 70x60  ----- Carbon Aerobar</v>
      </c>
      <c r="C27">
        <f>$L$8</f>
        <v>445</v>
      </c>
      <c r="D27">
        <f t="shared" ref="D27:D41" si="4">$L$9</f>
        <v>415</v>
      </c>
      <c r="E27">
        <f t="shared" ref="E27:E41" si="5">$L$10</f>
        <v>495</v>
      </c>
      <c r="G27">
        <f t="shared" si="2"/>
        <v>0</v>
      </c>
      <c r="H27" t="str">
        <f>'Data - DA'!G38</f>
        <v xml:space="preserve">Aerobar Bolts: Top N/A; Bottom N/A </v>
      </c>
    </row>
    <row r="28" spans="2:8" x14ac:dyDescent="0.25">
      <c r="B28" t="str">
        <f>TEXT($B$3,0) &amp;" ----- "&amp;'Data - DA'!B39</f>
        <v>Frame: 54 ----- Stem: 70x60  ----- Carbon Aerobar + 5</v>
      </c>
      <c r="C28">
        <f t="shared" ref="C28:C41" si="6">$L$8</f>
        <v>445</v>
      </c>
      <c r="D28">
        <f t="shared" si="4"/>
        <v>415</v>
      </c>
      <c r="E28">
        <f t="shared" si="5"/>
        <v>495</v>
      </c>
      <c r="F28">
        <f>$G$4+'Data - DA'!D39</f>
        <v>626</v>
      </c>
      <c r="G28">
        <f t="shared" si="2"/>
        <v>625</v>
      </c>
      <c r="H28" t="str">
        <f>'Data - DA'!G39</f>
        <v xml:space="preserve">Aerobar Bolts: Top 45mm; Bottom N/A </v>
      </c>
    </row>
    <row r="29" spans="2:8" x14ac:dyDescent="0.25">
      <c r="B29" t="str">
        <f>TEXT($B$3,0) &amp;" ----- "&amp;'Data - DA'!B40</f>
        <v>Frame: 54 ----- Stem: 70x60  ----- Carbon Aerobar + 10</v>
      </c>
      <c r="C29">
        <f t="shared" si="6"/>
        <v>445</v>
      </c>
      <c r="D29">
        <f t="shared" si="4"/>
        <v>415</v>
      </c>
      <c r="E29">
        <f t="shared" si="5"/>
        <v>495</v>
      </c>
      <c r="F29">
        <f>$G$4+'Data - DA'!D40</f>
        <v>631</v>
      </c>
      <c r="G29">
        <f t="shared" si="2"/>
        <v>630</v>
      </c>
      <c r="H29" t="str">
        <f>'Data - DA'!G40</f>
        <v xml:space="preserve">Aerobar Bolts: Top 50mm; Bottom N/A </v>
      </c>
    </row>
    <row r="30" spans="2:8" x14ac:dyDescent="0.25">
      <c r="B30" t="str">
        <f>TEXT($B$3,0) &amp;" ----- "&amp;'Data - DA'!B41</f>
        <v>Frame: 54 ----- Stem: 70x60  ----- Carbon Aerobar + 5 + 10</v>
      </c>
      <c r="C30">
        <f t="shared" si="6"/>
        <v>445</v>
      </c>
      <c r="D30">
        <f t="shared" si="4"/>
        <v>415</v>
      </c>
      <c r="E30">
        <f t="shared" si="5"/>
        <v>495</v>
      </c>
      <c r="F30">
        <f>$G$4+'Data - DA'!D41</f>
        <v>636</v>
      </c>
      <c r="G30">
        <f t="shared" si="2"/>
        <v>635</v>
      </c>
      <c r="H30" t="str">
        <f>'Data - DA'!G41</f>
        <v xml:space="preserve">Aerobar Bolts: Top 55mm; Bottom N/A </v>
      </c>
    </row>
    <row r="31" spans="2:8" x14ac:dyDescent="0.25">
      <c r="B31" t="str">
        <f>TEXT($B$3,0) &amp;" ----- "&amp;'Data - DA'!B42</f>
        <v>Frame: 54 ----- Stem: 70x60  ----- Carbon Aerobar + 20</v>
      </c>
      <c r="C31">
        <f t="shared" si="6"/>
        <v>445</v>
      </c>
      <c r="D31">
        <f t="shared" si="4"/>
        <v>415</v>
      </c>
      <c r="E31">
        <f t="shared" si="5"/>
        <v>495</v>
      </c>
      <c r="F31">
        <f>$G$4+'Data - DA'!D42</f>
        <v>641</v>
      </c>
      <c r="G31">
        <f t="shared" si="2"/>
        <v>640</v>
      </c>
      <c r="H31" t="str">
        <f>'Data - DA'!G42</f>
        <v xml:space="preserve">Aerobar Bolts: Top 20mm; Bottom 30mm </v>
      </c>
    </row>
    <row r="32" spans="2:8" x14ac:dyDescent="0.25">
      <c r="B32" t="str">
        <f>TEXT($B$3,0) &amp;" ----- "&amp;'Data - DA'!B43</f>
        <v>Frame: 54 ----- Stem: 70x60  ----- Carbon Aerobar + 20 + 5</v>
      </c>
      <c r="C32">
        <f t="shared" si="6"/>
        <v>445</v>
      </c>
      <c r="D32">
        <f t="shared" si="4"/>
        <v>415</v>
      </c>
      <c r="E32">
        <f t="shared" si="5"/>
        <v>495</v>
      </c>
      <c r="F32">
        <f>$G$4+'Data - DA'!D43</f>
        <v>646</v>
      </c>
      <c r="G32">
        <f t="shared" si="2"/>
        <v>645</v>
      </c>
      <c r="H32" t="str">
        <f>'Data - DA'!G43</f>
        <v xml:space="preserve">Aerobar Bolts: Top 25mm; Bottom 30mm </v>
      </c>
    </row>
    <row r="33" spans="2:8" x14ac:dyDescent="0.25">
      <c r="B33" t="str">
        <f>TEXT($B$3,0) &amp;" ----- "&amp;'Data - DA'!B44</f>
        <v>Frame: 54 ----- Stem: 70x60  ----- Carbon Aerobar + 20 + bridge</v>
      </c>
      <c r="C33">
        <f t="shared" si="6"/>
        <v>445</v>
      </c>
      <c r="D33">
        <f t="shared" si="4"/>
        <v>415</v>
      </c>
      <c r="E33">
        <f t="shared" si="5"/>
        <v>495</v>
      </c>
      <c r="F33">
        <f>$G$4+'Data - DA'!D44</f>
        <v>646</v>
      </c>
      <c r="G33">
        <f t="shared" si="2"/>
        <v>645</v>
      </c>
      <c r="H33" t="str">
        <f>'Data - DA'!G44</f>
        <v xml:space="preserve">Aerobar Bolts: Top 25mm; Bottom 30mm </v>
      </c>
    </row>
    <row r="34" spans="2:8" x14ac:dyDescent="0.25">
      <c r="B34" t="str">
        <f>TEXT($B$3,0) &amp;" ----- "&amp;'Data - DA'!B45</f>
        <v>Frame: 54 ----- Stem: 70x60  ----- Carbon Aerobar + 30</v>
      </c>
      <c r="C34">
        <f t="shared" si="6"/>
        <v>445</v>
      </c>
      <c r="D34">
        <f t="shared" si="4"/>
        <v>415</v>
      </c>
      <c r="E34">
        <f t="shared" si="5"/>
        <v>495</v>
      </c>
      <c r="F34">
        <f>$G$4+'Data - DA'!D45</f>
        <v>651</v>
      </c>
      <c r="G34">
        <f t="shared" si="2"/>
        <v>650</v>
      </c>
      <c r="H34" t="str">
        <f>'Data - DA'!G45</f>
        <v xml:space="preserve">Aerobar Bolts: Top 25mm; Bottom 30mm </v>
      </c>
    </row>
    <row r="35" spans="2:8" x14ac:dyDescent="0.25">
      <c r="B35" t="str">
        <f>TEXT($B$3,0) &amp;" ----- "&amp;'Data - DA'!B46</f>
        <v>Frame: 54 ----- Stem: 70x60  ----- Carbon Aerobar + 20 + bridge + 5</v>
      </c>
      <c r="C35">
        <f t="shared" si="6"/>
        <v>445</v>
      </c>
      <c r="D35">
        <f t="shared" si="4"/>
        <v>415</v>
      </c>
      <c r="E35">
        <f t="shared" si="5"/>
        <v>495</v>
      </c>
      <c r="F35">
        <f>$G$4+'Data - DA'!D46</f>
        <v>651</v>
      </c>
      <c r="G35">
        <f t="shared" si="2"/>
        <v>650</v>
      </c>
      <c r="H35" t="str">
        <f>'Data - DA'!G46</f>
        <v xml:space="preserve">Aerobar Bolts: Top 30mm; Bottom 30mm </v>
      </c>
    </row>
    <row r="36" spans="2:8" x14ac:dyDescent="0.25">
      <c r="B36" t="str">
        <f>TEXT($B$3,0) &amp;" ----- "&amp;'Data - DA'!B47</f>
        <v>Frame: 54 ----- Stem: 70x60  ----- Carbon Aerobar + 30 + bridge</v>
      </c>
      <c r="C36">
        <f t="shared" si="6"/>
        <v>445</v>
      </c>
      <c r="D36">
        <f t="shared" si="4"/>
        <v>415</v>
      </c>
      <c r="E36">
        <f t="shared" si="5"/>
        <v>495</v>
      </c>
      <c r="F36">
        <f>$G$4+'Data - DA'!D47</f>
        <v>656</v>
      </c>
      <c r="G36">
        <f t="shared" si="2"/>
        <v>655</v>
      </c>
      <c r="H36" t="str">
        <f>'Data - DA'!G47</f>
        <v xml:space="preserve">Aerobar Bolts: Top 30mm; Bottom 30mm </v>
      </c>
    </row>
    <row r="37" spans="2:8" x14ac:dyDescent="0.25">
      <c r="B37" t="str">
        <f>TEXT($B$3,0) &amp;" ----- "&amp;'Data - DA'!B48</f>
        <v>Frame: 54 ----- Stem: 70x60  ----- Carbon Aerobar + 30 + bridge + 5</v>
      </c>
      <c r="C37">
        <f t="shared" si="6"/>
        <v>445</v>
      </c>
      <c r="D37">
        <f t="shared" si="4"/>
        <v>415</v>
      </c>
      <c r="E37">
        <f t="shared" si="5"/>
        <v>495</v>
      </c>
      <c r="F37">
        <f>$G$4+'Data - DA'!D48</f>
        <v>661</v>
      </c>
      <c r="G37">
        <f t="shared" si="2"/>
        <v>660</v>
      </c>
      <c r="H37" t="str">
        <f>'Data - DA'!G48</f>
        <v xml:space="preserve">Aerobar Bolts: Top 35mm; Bottom 30mm </v>
      </c>
    </row>
    <row r="38" spans="2:8" x14ac:dyDescent="0.25">
      <c r="B38" t="str">
        <f>TEXT($B$3,0) &amp;" ----- "&amp;'Data - DA'!B49</f>
        <v>Frame: 54 ----- Stem: 70x60  ----- Carbon Aerobar + 40 + bridge</v>
      </c>
      <c r="C38">
        <f t="shared" si="6"/>
        <v>445</v>
      </c>
      <c r="D38">
        <f t="shared" si="4"/>
        <v>415</v>
      </c>
      <c r="E38">
        <f t="shared" si="5"/>
        <v>495</v>
      </c>
      <c r="F38">
        <f>$G$4+'Data - DA'!D49</f>
        <v>666</v>
      </c>
      <c r="G38">
        <f t="shared" si="2"/>
        <v>665</v>
      </c>
      <c r="H38" t="str">
        <f>'Data - DA'!G49</f>
        <v xml:space="preserve">Aerobar Bolts: Top 35mm; Bottom 30mm </v>
      </c>
    </row>
    <row r="39" spans="2:8" x14ac:dyDescent="0.25">
      <c r="B39" t="str">
        <f>TEXT($B$3,0) &amp;" ----- "&amp;'Data - DA'!B50</f>
        <v>Frame: 54 ----- Stem: 70x60  ----- Carbon Aerobar + 40 + bridge + 5</v>
      </c>
      <c r="C39">
        <f t="shared" si="6"/>
        <v>445</v>
      </c>
      <c r="D39">
        <f t="shared" si="4"/>
        <v>415</v>
      </c>
      <c r="E39">
        <f t="shared" si="5"/>
        <v>495</v>
      </c>
      <c r="F39">
        <f>$G$4+'Data - DA'!D50</f>
        <v>671</v>
      </c>
      <c r="G39">
        <f t="shared" si="2"/>
        <v>670</v>
      </c>
      <c r="H39" t="str">
        <f>'Data - DA'!G50</f>
        <v xml:space="preserve">Aerobar Bolts: Top 35mm; Bottom 30mm </v>
      </c>
    </row>
    <row r="40" spans="2:8" x14ac:dyDescent="0.25">
      <c r="B40" t="str">
        <f>TEXT($B$3,0) &amp;" ----- "&amp;'Data - DA'!B51</f>
        <v>Frame: 54 ----- Stem: 70x60  ----- Carbon Aerobar + 40 + bridge + 10</v>
      </c>
      <c r="C40">
        <f t="shared" si="6"/>
        <v>445</v>
      </c>
      <c r="D40">
        <f t="shared" si="4"/>
        <v>415</v>
      </c>
      <c r="E40">
        <f t="shared" si="5"/>
        <v>495</v>
      </c>
      <c r="F40">
        <f>$G$4+'Data - DA'!D51</f>
        <v>676</v>
      </c>
      <c r="G40">
        <f t="shared" si="2"/>
        <v>675</v>
      </c>
      <c r="H40" t="str">
        <f>'Data - DA'!G51</f>
        <v xml:space="preserve">Aerobar Bolts: Top 40mm; Bottom 30mm </v>
      </c>
    </row>
    <row r="41" spans="2:8" x14ac:dyDescent="0.25">
      <c r="B41" t="str">
        <f>TEXT($B$3,0) &amp;" ----- "&amp;'Data - DA'!B52</f>
        <v>Frame: 54 ----- Stem: 70x60  ----- Carbon Aerobar + 40 + bridge + 10 + 5</v>
      </c>
      <c r="C41">
        <f t="shared" si="6"/>
        <v>445</v>
      </c>
      <c r="D41">
        <f t="shared" si="4"/>
        <v>415</v>
      </c>
      <c r="E41">
        <f t="shared" si="5"/>
        <v>495</v>
      </c>
      <c r="F41">
        <f>$G$4+'Data - DA'!D52</f>
        <v>681</v>
      </c>
      <c r="G41">
        <f t="shared" si="2"/>
        <v>680</v>
      </c>
      <c r="H41" t="str">
        <f>'Data - DA'!G52</f>
        <v xml:space="preserve">Aerobar Bolts: Top 45mm; Bottom 30mm </v>
      </c>
    </row>
    <row r="42" spans="2:8" x14ac:dyDescent="0.25">
      <c r="B42" t="str">
        <f>TEXT($B$3,0) &amp;" ----- "&amp;'Data - DA'!B53</f>
        <v>Frame: 54 ----- Stem: 100x30  ----- Carbon Aerobar</v>
      </c>
      <c r="C42">
        <f>$M$8</f>
        <v>485</v>
      </c>
      <c r="D42">
        <f t="shared" ref="D42:D56" si="7">$M$9</f>
        <v>455</v>
      </c>
      <c r="E42">
        <f t="shared" ref="E42:E56" si="8">$M$10</f>
        <v>535</v>
      </c>
      <c r="G42">
        <f t="shared" si="2"/>
        <v>0</v>
      </c>
      <c r="H42" t="str">
        <f>'Data - DA'!G53</f>
        <v xml:space="preserve">Aerobar Bolts: Top N/A; Bottom N/A </v>
      </c>
    </row>
    <row r="43" spans="2:8" x14ac:dyDescent="0.25">
      <c r="B43" t="str">
        <f>TEXT($B$3,0) &amp;" ----- "&amp;'Data - DA'!B54</f>
        <v>Frame: 54 ----- Stem: 100x30  ----- Carbon Aerobar + 5</v>
      </c>
      <c r="C43">
        <f t="shared" ref="C43:C56" si="9">$M$8</f>
        <v>485</v>
      </c>
      <c r="D43">
        <f t="shared" si="7"/>
        <v>455</v>
      </c>
      <c r="E43">
        <f t="shared" si="8"/>
        <v>535</v>
      </c>
      <c r="F43">
        <f>$G$4+'Data - DA'!D54</f>
        <v>596</v>
      </c>
      <c r="G43">
        <f t="shared" si="2"/>
        <v>595</v>
      </c>
      <c r="H43" t="str">
        <f>'Data - DA'!G54</f>
        <v xml:space="preserve">Aerobar Bolts: Top 45mm; Bottom N/A </v>
      </c>
    </row>
    <row r="44" spans="2:8" x14ac:dyDescent="0.25">
      <c r="B44" t="str">
        <f>TEXT($B$3,0) &amp;" ----- "&amp;'Data - DA'!B55</f>
        <v>Frame: 54 ----- Stem: 100x30  ----- Carbon Aerobar + 10</v>
      </c>
      <c r="C44">
        <f t="shared" si="9"/>
        <v>485</v>
      </c>
      <c r="D44">
        <f t="shared" si="7"/>
        <v>455</v>
      </c>
      <c r="E44">
        <f t="shared" si="8"/>
        <v>535</v>
      </c>
      <c r="F44">
        <f>$G$4+'Data - DA'!D55</f>
        <v>601</v>
      </c>
      <c r="G44">
        <f t="shared" si="2"/>
        <v>600</v>
      </c>
      <c r="H44" t="str">
        <f>'Data - DA'!G55</f>
        <v xml:space="preserve">Aerobar Bolts: Top 50mm; Bottom N/A </v>
      </c>
    </row>
    <row r="45" spans="2:8" x14ac:dyDescent="0.25">
      <c r="B45" t="str">
        <f>TEXT($B$3,0) &amp;" ----- "&amp;'Data - DA'!B56</f>
        <v>Frame: 54 ----- Stem: 100x30  ----- Carbon Aerobar + 5 + 10</v>
      </c>
      <c r="C45">
        <f t="shared" si="9"/>
        <v>485</v>
      </c>
      <c r="D45">
        <f t="shared" si="7"/>
        <v>455</v>
      </c>
      <c r="E45">
        <f t="shared" si="8"/>
        <v>535</v>
      </c>
      <c r="F45">
        <f>$G$4+'Data - DA'!D56</f>
        <v>606</v>
      </c>
      <c r="G45">
        <f t="shared" si="2"/>
        <v>605</v>
      </c>
      <c r="H45" t="str">
        <f>'Data - DA'!G56</f>
        <v xml:space="preserve">Aerobar Bolts: Top 55mm; Bottom N/A </v>
      </c>
    </row>
    <row r="46" spans="2:8" x14ac:dyDescent="0.25">
      <c r="B46" t="str">
        <f>TEXT($B$3,0) &amp;" ----- "&amp;'Data - DA'!B57</f>
        <v>Frame: 54 ----- Stem: 100x30  ----- Carbon Aerobar + 20</v>
      </c>
      <c r="C46">
        <f t="shared" si="9"/>
        <v>485</v>
      </c>
      <c r="D46">
        <f t="shared" si="7"/>
        <v>455</v>
      </c>
      <c r="E46">
        <f t="shared" si="8"/>
        <v>535</v>
      </c>
      <c r="F46">
        <f>$G$4+'Data - DA'!D57</f>
        <v>611</v>
      </c>
      <c r="G46">
        <f t="shared" si="2"/>
        <v>610</v>
      </c>
      <c r="H46" t="str">
        <f>'Data - DA'!G57</f>
        <v xml:space="preserve">Aerobar Bolts: Top 20mm; Bottom 30mm </v>
      </c>
    </row>
    <row r="47" spans="2:8" x14ac:dyDescent="0.25">
      <c r="B47" t="str">
        <f>TEXT($B$3,0) &amp;" ----- "&amp;'Data - DA'!B58</f>
        <v>Frame: 54 ----- Stem: 100x30  ----- Carbon Aerobar + 20 + 5</v>
      </c>
      <c r="C47">
        <f t="shared" si="9"/>
        <v>485</v>
      </c>
      <c r="D47">
        <f t="shared" si="7"/>
        <v>455</v>
      </c>
      <c r="E47">
        <f t="shared" si="8"/>
        <v>535</v>
      </c>
      <c r="F47">
        <f>$G$4+'Data - DA'!D58</f>
        <v>616</v>
      </c>
      <c r="G47">
        <f t="shared" si="2"/>
        <v>615</v>
      </c>
      <c r="H47" t="str">
        <f>'Data - DA'!G58</f>
        <v xml:space="preserve">Aerobar Bolts: Top 25mm; Bottom 30mm </v>
      </c>
    </row>
    <row r="48" spans="2:8" x14ac:dyDescent="0.25">
      <c r="B48" t="str">
        <f>TEXT($B$3,0) &amp;" ----- "&amp;'Data - DA'!B59</f>
        <v>Frame: 54 ----- Stem: 100x30  ----- Carbon Aerobar + 20 + bridge</v>
      </c>
      <c r="C48">
        <f t="shared" si="9"/>
        <v>485</v>
      </c>
      <c r="D48">
        <f t="shared" si="7"/>
        <v>455</v>
      </c>
      <c r="E48">
        <f t="shared" si="8"/>
        <v>535</v>
      </c>
      <c r="F48">
        <f>$G$4+'Data - DA'!D59</f>
        <v>616</v>
      </c>
      <c r="G48">
        <f t="shared" si="2"/>
        <v>615</v>
      </c>
      <c r="H48" t="str">
        <f>'Data - DA'!G59</f>
        <v xml:space="preserve">Aerobar Bolts: Top 25mm; Bottom 30mm </v>
      </c>
    </row>
    <row r="49" spans="2:8" x14ac:dyDescent="0.25">
      <c r="B49" t="str">
        <f>TEXT($B$3,0) &amp;" ----- "&amp;'Data - DA'!B60</f>
        <v>Frame: 54 ----- Stem: 100x30  ----- Carbon Aerobar + 30</v>
      </c>
      <c r="C49">
        <f t="shared" si="9"/>
        <v>485</v>
      </c>
      <c r="D49">
        <f t="shared" si="7"/>
        <v>455</v>
      </c>
      <c r="E49">
        <f t="shared" si="8"/>
        <v>535</v>
      </c>
      <c r="F49">
        <f>$G$4+'Data - DA'!D60</f>
        <v>621</v>
      </c>
      <c r="G49">
        <f t="shared" si="2"/>
        <v>620</v>
      </c>
      <c r="H49" t="str">
        <f>'Data - DA'!G60</f>
        <v xml:space="preserve">Aerobar Bolts: Top 25mm; Bottom 30mm </v>
      </c>
    </row>
    <row r="50" spans="2:8" x14ac:dyDescent="0.25">
      <c r="B50" t="str">
        <f>TEXT($B$3,0) &amp;" ----- "&amp;'Data - DA'!B61</f>
        <v>Frame: 54 ----- Stem: 100x30  ----- Carbon Aerobar + 20 + bridge + 5</v>
      </c>
      <c r="C50">
        <f t="shared" si="9"/>
        <v>485</v>
      </c>
      <c r="D50">
        <f t="shared" si="7"/>
        <v>455</v>
      </c>
      <c r="E50">
        <f t="shared" si="8"/>
        <v>535</v>
      </c>
      <c r="F50">
        <f>$G$4+'Data - DA'!D61</f>
        <v>621</v>
      </c>
      <c r="G50">
        <f t="shared" si="2"/>
        <v>620</v>
      </c>
      <c r="H50" t="str">
        <f>'Data - DA'!G61</f>
        <v xml:space="preserve">Aerobar Bolts: Top 30mm; Bottom 30mm </v>
      </c>
    </row>
    <row r="51" spans="2:8" x14ac:dyDescent="0.25">
      <c r="B51" t="str">
        <f>TEXT($B$3,0) &amp;" ----- "&amp;'Data - DA'!B62</f>
        <v>Frame: 54 ----- Stem: 100x30  ----- Carbon Aerobar + 30 + bridge</v>
      </c>
      <c r="C51">
        <f t="shared" si="9"/>
        <v>485</v>
      </c>
      <c r="D51">
        <f t="shared" si="7"/>
        <v>455</v>
      </c>
      <c r="E51">
        <f t="shared" si="8"/>
        <v>535</v>
      </c>
      <c r="F51">
        <f>$G$4+'Data - DA'!D62</f>
        <v>626</v>
      </c>
      <c r="G51">
        <f t="shared" si="2"/>
        <v>625</v>
      </c>
      <c r="H51" t="str">
        <f>'Data - DA'!G62</f>
        <v xml:space="preserve">Aerobar Bolts: Top 30mm; Bottom 30mm </v>
      </c>
    </row>
    <row r="52" spans="2:8" x14ac:dyDescent="0.25">
      <c r="B52" t="str">
        <f>TEXT($B$3,0) &amp;" ----- "&amp;'Data - DA'!B63</f>
        <v>Frame: 54 ----- Stem: 100x30  ----- Carbon Aerobar + 30 + bridge + 5</v>
      </c>
      <c r="C52">
        <f t="shared" si="9"/>
        <v>485</v>
      </c>
      <c r="D52">
        <f t="shared" si="7"/>
        <v>455</v>
      </c>
      <c r="E52">
        <f t="shared" si="8"/>
        <v>535</v>
      </c>
      <c r="F52">
        <f>$G$4+'Data - DA'!D63</f>
        <v>631</v>
      </c>
      <c r="G52">
        <f t="shared" si="2"/>
        <v>630</v>
      </c>
      <c r="H52" t="str">
        <f>'Data - DA'!G63</f>
        <v xml:space="preserve">Aerobar Bolts: Top 35mm; Bottom 30mm </v>
      </c>
    </row>
    <row r="53" spans="2:8" x14ac:dyDescent="0.25">
      <c r="B53" t="str">
        <f>TEXT($B$3,0) &amp;" ----- "&amp;'Data - DA'!B64</f>
        <v>Frame: 54 ----- Stem: 100x30  ----- Carbon Aerobar + 40 + bridge</v>
      </c>
      <c r="C53">
        <f t="shared" si="9"/>
        <v>485</v>
      </c>
      <c r="D53">
        <f t="shared" si="7"/>
        <v>455</v>
      </c>
      <c r="E53">
        <f t="shared" si="8"/>
        <v>535</v>
      </c>
      <c r="F53">
        <f>$G$4+'Data - DA'!D64</f>
        <v>636</v>
      </c>
      <c r="G53">
        <f t="shared" si="2"/>
        <v>635</v>
      </c>
      <c r="H53" t="str">
        <f>'Data - DA'!G64</f>
        <v xml:space="preserve">Aerobar Bolts: Top 35mm; Bottom 30mm </v>
      </c>
    </row>
    <row r="54" spans="2:8" x14ac:dyDescent="0.25">
      <c r="B54" t="str">
        <f>TEXT($B$3,0) &amp;" ----- "&amp;'Data - DA'!B65</f>
        <v>Frame: 54 ----- Stem: 100x30  ----- Carbon Aerobar + 40 + bridge + 5</v>
      </c>
      <c r="C54">
        <f t="shared" si="9"/>
        <v>485</v>
      </c>
      <c r="D54">
        <f t="shared" si="7"/>
        <v>455</v>
      </c>
      <c r="E54">
        <f t="shared" si="8"/>
        <v>535</v>
      </c>
      <c r="F54">
        <f>$G$4+'Data - DA'!D65</f>
        <v>641</v>
      </c>
      <c r="G54">
        <f t="shared" si="2"/>
        <v>640</v>
      </c>
      <c r="H54" t="str">
        <f>'Data - DA'!G65</f>
        <v xml:space="preserve">Aerobar Bolts: Top 35mm; Bottom 30mm </v>
      </c>
    </row>
    <row r="55" spans="2:8" x14ac:dyDescent="0.25">
      <c r="B55" t="str">
        <f>TEXT($B$3,0) &amp;" ----- "&amp;'Data - DA'!B66</f>
        <v>Frame: 54 ----- Stem: 100x30  ----- Carbon Aerobar + 40 + bridge + 10</v>
      </c>
      <c r="C55">
        <f t="shared" si="9"/>
        <v>485</v>
      </c>
      <c r="D55">
        <f t="shared" si="7"/>
        <v>455</v>
      </c>
      <c r="E55">
        <f t="shared" si="8"/>
        <v>535</v>
      </c>
      <c r="F55">
        <f>$G$4+'Data - DA'!D66</f>
        <v>646</v>
      </c>
      <c r="G55">
        <f t="shared" si="2"/>
        <v>645</v>
      </c>
      <c r="H55" t="str">
        <f>'Data - DA'!G66</f>
        <v xml:space="preserve">Aerobar Bolts: Top 40mm; Bottom 30mm </v>
      </c>
    </row>
    <row r="56" spans="2:8" x14ac:dyDescent="0.25">
      <c r="B56" t="str">
        <f>TEXT($B$3,0) &amp;" ----- "&amp;'Data - DA'!B67</f>
        <v>Frame: 54 ----- Stem: 100x30  ----- Carbon Aerobar + 40 + bridge + 10 + 5</v>
      </c>
      <c r="C56">
        <f t="shared" si="9"/>
        <v>485</v>
      </c>
      <c r="D56">
        <f t="shared" si="7"/>
        <v>455</v>
      </c>
      <c r="E56">
        <f t="shared" si="8"/>
        <v>535</v>
      </c>
      <c r="F56">
        <f>$G$4+'Data - DA'!D67</f>
        <v>651</v>
      </c>
      <c r="G56">
        <f t="shared" si="2"/>
        <v>650</v>
      </c>
      <c r="H56" t="str">
        <f>'Data - DA'!G67</f>
        <v xml:space="preserve">Aerobar Bolts: Top 45mm; Bottom 30mm </v>
      </c>
    </row>
    <row r="57" spans="2:8" x14ac:dyDescent="0.25">
      <c r="B57" t="str">
        <f>TEXT($B$3,0) &amp;" ----- "&amp;'Data - DA'!B68</f>
        <v>Frame: 54 ----- Stem: 100x60  ----- Carbon Aerobar</v>
      </c>
      <c r="C57">
        <f>$N$8</f>
        <v>475</v>
      </c>
      <c r="D57">
        <f t="shared" ref="D57:D71" si="10">$N$9</f>
        <v>445</v>
      </c>
      <c r="E57">
        <f t="shared" ref="E57:E71" si="11">$N$10</f>
        <v>525</v>
      </c>
      <c r="H57" t="str">
        <f>'Data - DA'!G68</f>
        <v xml:space="preserve">Aerobar Bolts: Top N/A; Bottom N/A </v>
      </c>
    </row>
    <row r="58" spans="2:8" x14ac:dyDescent="0.25">
      <c r="B58" t="str">
        <f>TEXT($B$3,0) &amp;" ----- "&amp;'Data - DA'!B69</f>
        <v>Frame: 54 ----- Stem: 100x60  ----- Carbon Aerobar + 5</v>
      </c>
      <c r="C58">
        <f t="shared" ref="C58:C71" si="12">$N$8</f>
        <v>475</v>
      </c>
      <c r="D58">
        <f t="shared" si="10"/>
        <v>445</v>
      </c>
      <c r="E58">
        <f t="shared" si="11"/>
        <v>525</v>
      </c>
      <c r="F58">
        <f>$G$4+'Data - DA'!D69</f>
        <v>626</v>
      </c>
      <c r="G58">
        <f t="shared" ref="G58:G151" si="13">ROUND(F58/5,0)*5</f>
        <v>625</v>
      </c>
      <c r="H58" t="str">
        <f>'Data - DA'!G69</f>
        <v xml:space="preserve">Aerobar Bolts: Top 45mm; Bottom N/A </v>
      </c>
    </row>
    <row r="59" spans="2:8" x14ac:dyDescent="0.25">
      <c r="B59" t="str">
        <f>TEXT($B$3,0) &amp;" ----- "&amp;'Data - DA'!B70</f>
        <v>Frame: 54 ----- Stem: 100x60  ----- Carbon Aerobar + 10</v>
      </c>
      <c r="C59">
        <f t="shared" si="12"/>
        <v>475</v>
      </c>
      <c r="D59">
        <f t="shared" si="10"/>
        <v>445</v>
      </c>
      <c r="E59">
        <f t="shared" si="11"/>
        <v>525</v>
      </c>
      <c r="F59">
        <f>$G$4+'Data - DA'!D70</f>
        <v>631</v>
      </c>
      <c r="G59">
        <f t="shared" si="13"/>
        <v>630</v>
      </c>
      <c r="H59" t="str">
        <f>'Data - DA'!G70</f>
        <v xml:space="preserve">Aerobar Bolts: Top 50mm; Bottom N/A </v>
      </c>
    </row>
    <row r="60" spans="2:8" x14ac:dyDescent="0.25">
      <c r="B60" t="str">
        <f>TEXT($B$3,0) &amp;" ----- "&amp;'Data - DA'!B71</f>
        <v>Frame: 54 ----- Stem: 100x60  ----- Carbon Aerobar + 5 + 10</v>
      </c>
      <c r="C60">
        <f t="shared" si="12"/>
        <v>475</v>
      </c>
      <c r="D60">
        <f t="shared" si="10"/>
        <v>445</v>
      </c>
      <c r="E60">
        <f t="shared" si="11"/>
        <v>525</v>
      </c>
      <c r="F60">
        <f>$G$4+'Data - DA'!D71</f>
        <v>636</v>
      </c>
      <c r="G60">
        <f t="shared" si="13"/>
        <v>635</v>
      </c>
      <c r="H60" t="str">
        <f>'Data - DA'!G71</f>
        <v xml:space="preserve">Aerobar Bolts: Top 55mm; Bottom N/A </v>
      </c>
    </row>
    <row r="61" spans="2:8" x14ac:dyDescent="0.25">
      <c r="B61" t="str">
        <f>TEXT($B$3,0) &amp;" ----- "&amp;'Data - DA'!B72</f>
        <v>Frame: 54 ----- Stem: 100x60  ----- Carbon Aerobar + 20</v>
      </c>
      <c r="C61">
        <f t="shared" si="12"/>
        <v>475</v>
      </c>
      <c r="D61">
        <f t="shared" si="10"/>
        <v>445</v>
      </c>
      <c r="E61">
        <f t="shared" si="11"/>
        <v>525</v>
      </c>
      <c r="F61">
        <f>$G$4+'Data - DA'!D72</f>
        <v>641</v>
      </c>
      <c r="G61">
        <f t="shared" si="13"/>
        <v>640</v>
      </c>
      <c r="H61" t="str">
        <f>'Data - DA'!G72</f>
        <v xml:space="preserve">Aerobar Bolts: Top 20mm; Bottom 30mm </v>
      </c>
    </row>
    <row r="62" spans="2:8" x14ac:dyDescent="0.25">
      <c r="B62" t="str">
        <f>TEXT($B$3,0) &amp;" ----- "&amp;'Data - DA'!B73</f>
        <v>Frame: 54 ----- Stem: 100x60  ----- Carbon Aerobar + 20 + 5</v>
      </c>
      <c r="C62">
        <f t="shared" si="12"/>
        <v>475</v>
      </c>
      <c r="D62">
        <f t="shared" si="10"/>
        <v>445</v>
      </c>
      <c r="E62">
        <f t="shared" si="11"/>
        <v>525</v>
      </c>
      <c r="F62">
        <f>$G$4+'Data - DA'!D73</f>
        <v>646</v>
      </c>
      <c r="G62">
        <f t="shared" si="13"/>
        <v>645</v>
      </c>
      <c r="H62" t="str">
        <f>'Data - DA'!G73</f>
        <v xml:space="preserve">Aerobar Bolts: Top 25mm; Bottom 30mm </v>
      </c>
    </row>
    <row r="63" spans="2:8" x14ac:dyDescent="0.25">
      <c r="B63" t="str">
        <f>TEXT($B$3,0) &amp;" ----- "&amp;'Data - DA'!B74</f>
        <v>Frame: 54 ----- Stem: 100x60  ----- Carbon Aerobar + 20 + bridge</v>
      </c>
      <c r="C63">
        <f t="shared" si="12"/>
        <v>475</v>
      </c>
      <c r="D63">
        <f t="shared" si="10"/>
        <v>445</v>
      </c>
      <c r="E63">
        <f t="shared" si="11"/>
        <v>525</v>
      </c>
      <c r="F63">
        <f>$G$4+'Data - DA'!D74</f>
        <v>646</v>
      </c>
      <c r="G63">
        <f t="shared" si="13"/>
        <v>645</v>
      </c>
      <c r="H63" t="str">
        <f>'Data - DA'!G74</f>
        <v xml:space="preserve">Aerobar Bolts: Top 25mm; Bottom 30mm </v>
      </c>
    </row>
    <row r="64" spans="2:8" x14ac:dyDescent="0.25">
      <c r="B64" t="str">
        <f>TEXT($B$3,0) &amp;" ----- "&amp;'Data - DA'!B75</f>
        <v>Frame: 54 ----- Stem: 100x60  ----- Carbon Aerobar + 30</v>
      </c>
      <c r="C64">
        <f t="shared" si="12"/>
        <v>475</v>
      </c>
      <c r="D64">
        <f t="shared" si="10"/>
        <v>445</v>
      </c>
      <c r="E64">
        <f t="shared" si="11"/>
        <v>525</v>
      </c>
      <c r="F64">
        <f>$G$4+'Data - DA'!D75</f>
        <v>651</v>
      </c>
      <c r="G64">
        <f t="shared" si="13"/>
        <v>650</v>
      </c>
      <c r="H64" t="str">
        <f>'Data - DA'!G75</f>
        <v xml:space="preserve">Aerobar Bolts: Top 25mm; Bottom 30mm </v>
      </c>
    </row>
    <row r="65" spans="2:8" x14ac:dyDescent="0.25">
      <c r="B65" t="str">
        <f>TEXT($B$3,0) &amp;" ----- "&amp;'Data - DA'!B76</f>
        <v>Frame: 54 ----- Stem: 100x60  ----- Carbon Aerobar + 20 + bridge + 5</v>
      </c>
      <c r="C65">
        <f t="shared" si="12"/>
        <v>475</v>
      </c>
      <c r="D65">
        <f t="shared" si="10"/>
        <v>445</v>
      </c>
      <c r="E65">
        <f t="shared" si="11"/>
        <v>525</v>
      </c>
      <c r="F65">
        <f>$G$4+'Data - DA'!D76</f>
        <v>651</v>
      </c>
      <c r="G65">
        <f t="shared" si="13"/>
        <v>650</v>
      </c>
      <c r="H65" t="str">
        <f>'Data - DA'!G76</f>
        <v xml:space="preserve">Aerobar Bolts: Top 30mm; Bottom 30mm </v>
      </c>
    </row>
    <row r="66" spans="2:8" x14ac:dyDescent="0.25">
      <c r="B66" t="str">
        <f>TEXT($B$3,0) &amp;" ----- "&amp;'Data - DA'!B77</f>
        <v>Frame: 54 ----- Stem: 100x60  ----- Carbon Aerobar + 30 + bridge</v>
      </c>
      <c r="C66">
        <f t="shared" si="12"/>
        <v>475</v>
      </c>
      <c r="D66">
        <f t="shared" si="10"/>
        <v>445</v>
      </c>
      <c r="E66">
        <f t="shared" si="11"/>
        <v>525</v>
      </c>
      <c r="F66">
        <f>$G$4+'Data - DA'!D77</f>
        <v>656</v>
      </c>
      <c r="G66">
        <f t="shared" si="13"/>
        <v>655</v>
      </c>
      <c r="H66" t="str">
        <f>'Data - DA'!G77</f>
        <v xml:space="preserve">Aerobar Bolts: Top 30mm; Bottom 30mm </v>
      </c>
    </row>
    <row r="67" spans="2:8" x14ac:dyDescent="0.25">
      <c r="B67" t="str">
        <f>TEXT($B$3,0) &amp;" ----- "&amp;'Data - DA'!B78</f>
        <v>Frame: 54 ----- Stem: 100x60  ----- Carbon Aerobar + 30 + bridge + 5</v>
      </c>
      <c r="C67">
        <f t="shared" si="12"/>
        <v>475</v>
      </c>
      <c r="D67">
        <f t="shared" si="10"/>
        <v>445</v>
      </c>
      <c r="E67">
        <f t="shared" si="11"/>
        <v>525</v>
      </c>
      <c r="F67">
        <f>$G$4+'Data - DA'!D78</f>
        <v>661</v>
      </c>
      <c r="G67">
        <f t="shared" si="13"/>
        <v>660</v>
      </c>
      <c r="H67" t="str">
        <f>'Data - DA'!G78</f>
        <v xml:space="preserve">Aerobar Bolts: Top 35mm; Bottom 30mm </v>
      </c>
    </row>
    <row r="68" spans="2:8" x14ac:dyDescent="0.25">
      <c r="B68" t="str">
        <f>TEXT($B$3,0) &amp;" ----- "&amp;'Data - DA'!B79</f>
        <v>Frame: 54 ----- Stem: 100x60  ----- Carbon Aerobar + 40 + bridge</v>
      </c>
      <c r="C68">
        <f t="shared" si="12"/>
        <v>475</v>
      </c>
      <c r="D68">
        <f t="shared" si="10"/>
        <v>445</v>
      </c>
      <c r="E68">
        <f t="shared" si="11"/>
        <v>525</v>
      </c>
      <c r="F68">
        <f>$G$4+'Data - DA'!D79</f>
        <v>666</v>
      </c>
      <c r="G68">
        <f t="shared" si="13"/>
        <v>665</v>
      </c>
      <c r="H68" t="str">
        <f>'Data - DA'!G79</f>
        <v xml:space="preserve">Aerobar Bolts: Top 35mm; Bottom 30mm </v>
      </c>
    </row>
    <row r="69" spans="2:8" x14ac:dyDescent="0.25">
      <c r="B69" t="str">
        <f>TEXT($B$3,0) &amp;" ----- "&amp;'Data - DA'!B80</f>
        <v>Frame: 54 ----- Stem: 100x60  ----- Carbon Aerobar + 40 + bridge + 5</v>
      </c>
      <c r="C69">
        <f t="shared" si="12"/>
        <v>475</v>
      </c>
      <c r="D69">
        <f t="shared" si="10"/>
        <v>445</v>
      </c>
      <c r="E69">
        <f t="shared" si="11"/>
        <v>525</v>
      </c>
      <c r="F69">
        <f>$G$4+'Data - DA'!D80</f>
        <v>671</v>
      </c>
      <c r="G69">
        <f t="shared" si="13"/>
        <v>670</v>
      </c>
      <c r="H69" t="str">
        <f>'Data - DA'!G80</f>
        <v xml:space="preserve">Aerobar Bolts: Top 35mm; Bottom 30mm </v>
      </c>
    </row>
    <row r="70" spans="2:8" x14ac:dyDescent="0.25">
      <c r="B70" t="str">
        <f>TEXT($B$3,0) &amp;" ----- "&amp;'Data - DA'!B81</f>
        <v>Frame: 54 ----- Stem: 100x60  ----- Carbon Aerobar + 40 + bridge + 10</v>
      </c>
      <c r="C70">
        <f t="shared" si="12"/>
        <v>475</v>
      </c>
      <c r="D70">
        <f t="shared" si="10"/>
        <v>445</v>
      </c>
      <c r="E70">
        <f t="shared" si="11"/>
        <v>525</v>
      </c>
      <c r="F70">
        <f>$G$4+'Data - DA'!D81</f>
        <v>676</v>
      </c>
      <c r="G70">
        <f t="shared" si="13"/>
        <v>675</v>
      </c>
      <c r="H70" t="str">
        <f>'Data - DA'!G81</f>
        <v xml:space="preserve">Aerobar Bolts: Top 40mm; Bottom 30mm </v>
      </c>
    </row>
    <row r="71" spans="2:8" x14ac:dyDescent="0.25">
      <c r="B71" t="str">
        <f>TEXT($B$3,0) &amp;" ----- "&amp;'Data - DA'!B82</f>
        <v>Frame: 54 ----- Stem: 100x60  ----- Carbon Aerobar + 40 + bridge + 10 + 5</v>
      </c>
      <c r="C71">
        <f t="shared" si="12"/>
        <v>475</v>
      </c>
      <c r="D71">
        <f t="shared" si="10"/>
        <v>445</v>
      </c>
      <c r="E71">
        <f t="shared" si="11"/>
        <v>525</v>
      </c>
      <c r="F71">
        <f>$G$4+'Data - DA'!D82</f>
        <v>681</v>
      </c>
      <c r="G71">
        <f t="shared" si="13"/>
        <v>680</v>
      </c>
      <c r="H71" t="str">
        <f>'Data - DA'!G82</f>
        <v xml:space="preserve">Aerobar Bolts: Top 45mm; Bottom 30mm </v>
      </c>
    </row>
    <row r="72" spans="2:8" x14ac:dyDescent="0.25">
      <c r="B72" t="str">
        <f>TEXT($B$3,0) &amp;" ----- "&amp;'Data - DA'!B83</f>
        <v>Frame: 54 ----- Stem: 90x0  ----- Carbon Aerobar</v>
      </c>
      <c r="C72">
        <f>$O$8</f>
        <v>480</v>
      </c>
      <c r="D72">
        <f t="shared" ref="D72:D86" si="14">$O$9</f>
        <v>450</v>
      </c>
      <c r="E72">
        <f t="shared" ref="E72:E86" si="15">$O$10</f>
        <v>530</v>
      </c>
      <c r="G72">
        <f t="shared" ref="G72:G97" si="16">ROUND(F72/5,0)*5</f>
        <v>0</v>
      </c>
      <c r="H72" t="str">
        <f>'Data - DA'!G83</f>
        <v xml:space="preserve">Aerobar Bolts: Top N/A; Bottom N/A </v>
      </c>
    </row>
    <row r="73" spans="2:8" x14ac:dyDescent="0.25">
      <c r="B73" t="str">
        <f>TEXT($B$3,0) &amp;" ----- "&amp;'Data - DA'!B84</f>
        <v>Frame: 54 ----- Stem: 90x0  ----- Carbon Aerobar + 5</v>
      </c>
      <c r="C73">
        <f t="shared" ref="C73:C86" si="17">$O$8</f>
        <v>480</v>
      </c>
      <c r="D73">
        <f t="shared" si="14"/>
        <v>450</v>
      </c>
      <c r="E73">
        <f t="shared" si="15"/>
        <v>530</v>
      </c>
      <c r="F73">
        <f>$G$4+'Data - DA'!D84</f>
        <v>564</v>
      </c>
      <c r="G73">
        <f t="shared" si="16"/>
        <v>565</v>
      </c>
      <c r="H73" t="str">
        <f>'Data - DA'!G84</f>
        <v xml:space="preserve">Aerobar Bolts: Top 45mm; Bottom N/A </v>
      </c>
    </row>
    <row r="74" spans="2:8" x14ac:dyDescent="0.25">
      <c r="B74" t="str">
        <f>TEXT($B$3,0) &amp;" ----- "&amp;'Data - DA'!B85</f>
        <v>Frame: 54 ----- Stem: 90x0  ----- Carbon Aerobar + 10</v>
      </c>
      <c r="C74">
        <f t="shared" si="17"/>
        <v>480</v>
      </c>
      <c r="D74">
        <f t="shared" si="14"/>
        <v>450</v>
      </c>
      <c r="E74">
        <f t="shared" si="15"/>
        <v>530</v>
      </c>
      <c r="F74">
        <f>$G$4+'Data - DA'!D85</f>
        <v>569</v>
      </c>
      <c r="G74">
        <f t="shared" si="16"/>
        <v>570</v>
      </c>
      <c r="H74" t="str">
        <f>'Data - DA'!G85</f>
        <v xml:space="preserve">Aerobar Bolts: Top 50mm; Bottom N/A </v>
      </c>
    </row>
    <row r="75" spans="2:8" x14ac:dyDescent="0.25">
      <c r="B75" t="str">
        <f>TEXT($B$3,0) &amp;" ----- "&amp;'Data - DA'!B86</f>
        <v>Frame: 54 ----- Stem: 90x0  ----- Carbon Aerobar + 5 + 10</v>
      </c>
      <c r="C75">
        <f t="shared" si="17"/>
        <v>480</v>
      </c>
      <c r="D75">
        <f t="shared" si="14"/>
        <v>450</v>
      </c>
      <c r="E75">
        <f t="shared" si="15"/>
        <v>530</v>
      </c>
      <c r="F75">
        <f>$G$4+'Data - DA'!D86</f>
        <v>574</v>
      </c>
      <c r="G75">
        <f t="shared" si="16"/>
        <v>575</v>
      </c>
      <c r="H75" t="str">
        <f>'Data - DA'!G86</f>
        <v xml:space="preserve">Aerobar Bolts: Top 55mm; Bottom N/A </v>
      </c>
    </row>
    <row r="76" spans="2:8" x14ac:dyDescent="0.25">
      <c r="B76" t="str">
        <f>TEXT($B$3,0) &amp;" ----- "&amp;'Data - DA'!B87</f>
        <v>Frame: 54 ----- Stem: 90x0  ----- Carbon Aerobar + 20</v>
      </c>
      <c r="C76">
        <f t="shared" si="17"/>
        <v>480</v>
      </c>
      <c r="D76">
        <f t="shared" si="14"/>
        <v>450</v>
      </c>
      <c r="E76">
        <f t="shared" si="15"/>
        <v>530</v>
      </c>
      <c r="F76">
        <f>$G$4+'Data - DA'!D87</f>
        <v>579</v>
      </c>
      <c r="G76">
        <f t="shared" si="16"/>
        <v>580</v>
      </c>
      <c r="H76" t="str">
        <f>'Data - DA'!G87</f>
        <v xml:space="preserve">Aerobar Bolts: Top 20mm; Bottom 30mm </v>
      </c>
    </row>
    <row r="77" spans="2:8" x14ac:dyDescent="0.25">
      <c r="B77" t="str">
        <f>TEXT($B$3,0) &amp;" ----- "&amp;'Data - DA'!B88</f>
        <v>Frame: 54 ----- Stem: 90x0  ----- Carbon Aerobar + 20 + 5</v>
      </c>
      <c r="C77">
        <f t="shared" si="17"/>
        <v>480</v>
      </c>
      <c r="D77">
        <f t="shared" si="14"/>
        <v>450</v>
      </c>
      <c r="E77">
        <f t="shared" si="15"/>
        <v>530</v>
      </c>
      <c r="F77">
        <f>$G$4+'Data - DA'!D88</f>
        <v>584</v>
      </c>
      <c r="G77">
        <f t="shared" si="16"/>
        <v>585</v>
      </c>
      <c r="H77" t="str">
        <f>'Data - DA'!G88</f>
        <v xml:space="preserve">Aerobar Bolts: Top 25mm; Bottom 30mm </v>
      </c>
    </row>
    <row r="78" spans="2:8" x14ac:dyDescent="0.25">
      <c r="B78" t="str">
        <f>TEXT($B$3,0) &amp;" ----- "&amp;'Data - DA'!B89</f>
        <v>Frame: 54 ----- Stem: 90x0  ----- Carbon Aerobar + 20 + bridge</v>
      </c>
      <c r="C78">
        <f t="shared" si="17"/>
        <v>480</v>
      </c>
      <c r="D78">
        <f t="shared" si="14"/>
        <v>450</v>
      </c>
      <c r="E78">
        <f t="shared" si="15"/>
        <v>530</v>
      </c>
      <c r="F78">
        <f>$G$4+'Data - DA'!D89</f>
        <v>584</v>
      </c>
      <c r="G78">
        <f t="shared" si="16"/>
        <v>585</v>
      </c>
      <c r="H78" t="str">
        <f>'Data - DA'!G89</f>
        <v xml:space="preserve">Aerobar Bolts: Top 25mm; Bottom 30mm </v>
      </c>
    </row>
    <row r="79" spans="2:8" x14ac:dyDescent="0.25">
      <c r="B79" t="str">
        <f>TEXT($B$3,0) &amp;" ----- "&amp;'Data - DA'!B90</f>
        <v>Frame: 54 ----- Stem: 90x0  ----- Carbon Aerobar + 30</v>
      </c>
      <c r="C79">
        <f t="shared" si="17"/>
        <v>480</v>
      </c>
      <c r="D79">
        <f t="shared" si="14"/>
        <v>450</v>
      </c>
      <c r="E79">
        <f t="shared" si="15"/>
        <v>530</v>
      </c>
      <c r="F79">
        <f>$G$4+'Data - DA'!D90</f>
        <v>589</v>
      </c>
      <c r="G79">
        <f t="shared" si="16"/>
        <v>590</v>
      </c>
      <c r="H79" t="str">
        <f>'Data - DA'!G90</f>
        <v xml:space="preserve">Aerobar Bolts: Top 25mm; Bottom 30mm </v>
      </c>
    </row>
    <row r="80" spans="2:8" x14ac:dyDescent="0.25">
      <c r="B80" t="str">
        <f>TEXT($B$3,0) &amp;" ----- "&amp;'Data - DA'!B91</f>
        <v>Frame: 54 ----- Stem: 90x0  ----- Carbon Aerobar + 20 + bridge + 5</v>
      </c>
      <c r="C80">
        <f t="shared" si="17"/>
        <v>480</v>
      </c>
      <c r="D80">
        <f t="shared" si="14"/>
        <v>450</v>
      </c>
      <c r="E80">
        <f t="shared" si="15"/>
        <v>530</v>
      </c>
      <c r="F80">
        <f>$G$4+'Data - DA'!D91</f>
        <v>589</v>
      </c>
      <c r="G80">
        <f t="shared" si="16"/>
        <v>590</v>
      </c>
      <c r="H80" t="str">
        <f>'Data - DA'!G91</f>
        <v xml:space="preserve">Aerobar Bolts: Top 30mm; Bottom 30mm </v>
      </c>
    </row>
    <row r="81" spans="2:8" x14ac:dyDescent="0.25">
      <c r="B81" t="str">
        <f>TEXT($B$3,0) &amp;" ----- "&amp;'Data - DA'!B92</f>
        <v>Frame: 54 ----- Stem: 90x0  ----- Carbon Aerobar + 30 + bridge</v>
      </c>
      <c r="C81">
        <f t="shared" si="17"/>
        <v>480</v>
      </c>
      <c r="D81">
        <f t="shared" si="14"/>
        <v>450</v>
      </c>
      <c r="E81">
        <f t="shared" si="15"/>
        <v>530</v>
      </c>
      <c r="F81">
        <f>$G$4+'Data - DA'!D92</f>
        <v>594</v>
      </c>
      <c r="G81">
        <f t="shared" si="16"/>
        <v>595</v>
      </c>
      <c r="H81" t="str">
        <f>'Data - DA'!G92</f>
        <v xml:space="preserve">Aerobar Bolts: Top 30mm; Bottom 30mm </v>
      </c>
    </row>
    <row r="82" spans="2:8" x14ac:dyDescent="0.25">
      <c r="B82" t="str">
        <f>TEXT($B$3,0) &amp;" ----- "&amp;'Data - DA'!B93</f>
        <v>Frame: 54 ----- Stem: 90x0  ----- Carbon Aerobar + 30 + bridge + 5</v>
      </c>
      <c r="C82">
        <f t="shared" si="17"/>
        <v>480</v>
      </c>
      <c r="D82">
        <f t="shared" si="14"/>
        <v>450</v>
      </c>
      <c r="E82">
        <f t="shared" si="15"/>
        <v>530</v>
      </c>
      <c r="F82">
        <f>$G$4+'Data - DA'!D93</f>
        <v>599</v>
      </c>
      <c r="G82">
        <f t="shared" si="16"/>
        <v>600</v>
      </c>
      <c r="H82" t="str">
        <f>'Data - DA'!G93</f>
        <v xml:space="preserve">Aerobar Bolts: Top 35mm; Bottom 30mm </v>
      </c>
    </row>
    <row r="83" spans="2:8" x14ac:dyDescent="0.25">
      <c r="B83" t="str">
        <f>TEXT($B$3,0) &amp;" ----- "&amp;'Data - DA'!B94</f>
        <v>Frame: 54 ----- Stem: 90x0  ----- Carbon Aerobar + 40 + bridge</v>
      </c>
      <c r="C83">
        <f t="shared" si="17"/>
        <v>480</v>
      </c>
      <c r="D83">
        <f t="shared" si="14"/>
        <v>450</v>
      </c>
      <c r="E83">
        <f t="shared" si="15"/>
        <v>530</v>
      </c>
      <c r="F83">
        <f>$G$4+'Data - DA'!D94</f>
        <v>604</v>
      </c>
      <c r="G83">
        <f t="shared" si="16"/>
        <v>605</v>
      </c>
      <c r="H83" t="str">
        <f>'Data - DA'!G94</f>
        <v xml:space="preserve">Aerobar Bolts: Top 35mm; Bottom 30mm </v>
      </c>
    </row>
    <row r="84" spans="2:8" x14ac:dyDescent="0.25">
      <c r="B84" t="str">
        <f>TEXT($B$3,0) &amp;" ----- "&amp;'Data - DA'!B95</f>
        <v>Frame: 54 ----- Stem: 90x0  ----- Carbon Aerobar + 40 + bridge + 5</v>
      </c>
      <c r="C84">
        <f t="shared" si="17"/>
        <v>480</v>
      </c>
      <c r="D84">
        <f t="shared" si="14"/>
        <v>450</v>
      </c>
      <c r="E84">
        <f t="shared" si="15"/>
        <v>530</v>
      </c>
      <c r="F84">
        <f>$G$4+'Data - DA'!D95</f>
        <v>609</v>
      </c>
      <c r="G84">
        <f t="shared" si="16"/>
        <v>610</v>
      </c>
      <c r="H84" t="str">
        <f>'Data - DA'!G95</f>
        <v xml:space="preserve">Aerobar Bolts: Top 35mm; Bottom 30mm </v>
      </c>
    </row>
    <row r="85" spans="2:8" x14ac:dyDescent="0.25">
      <c r="B85" t="str">
        <f>TEXT($B$3,0) &amp;" ----- "&amp;'Data - DA'!B96</f>
        <v>Frame: 54 ----- Stem: 90x0  ----- Carbon Aerobar + 40 + bridge + 10</v>
      </c>
      <c r="C85">
        <f t="shared" si="17"/>
        <v>480</v>
      </c>
      <c r="D85">
        <f t="shared" si="14"/>
        <v>450</v>
      </c>
      <c r="E85">
        <f t="shared" si="15"/>
        <v>530</v>
      </c>
      <c r="F85">
        <f>$G$4+'Data - DA'!D96</f>
        <v>614</v>
      </c>
      <c r="G85">
        <f t="shared" si="16"/>
        <v>615</v>
      </c>
      <c r="H85" t="str">
        <f>'Data - DA'!G96</f>
        <v xml:space="preserve">Aerobar Bolts: Top 40mm; Bottom 30mm </v>
      </c>
    </row>
    <row r="86" spans="2:8" x14ac:dyDescent="0.25">
      <c r="B86" t="str">
        <f>TEXT($B$3,0) &amp;" ----- "&amp;'Data - DA'!B97</f>
        <v>Frame: 54 ----- Stem: 90x0  ----- Carbon Aerobar + 40 + bridge + 10 + 5</v>
      </c>
      <c r="C86">
        <f t="shared" si="17"/>
        <v>480</v>
      </c>
      <c r="D86">
        <f t="shared" si="14"/>
        <v>450</v>
      </c>
      <c r="E86">
        <f t="shared" si="15"/>
        <v>530</v>
      </c>
      <c r="F86">
        <f>$G$4+'Data - DA'!D97</f>
        <v>619</v>
      </c>
      <c r="G86">
        <f t="shared" si="16"/>
        <v>620</v>
      </c>
      <c r="H86" t="str">
        <f>'Data - DA'!G97</f>
        <v xml:space="preserve">Aerobar Bolts: Top 45mm; Bottom 30mm </v>
      </c>
    </row>
    <row r="87" spans="2:8" x14ac:dyDescent="0.25">
      <c r="B87" t="str">
        <f>TEXT($B$3,0) &amp;" ----- "&amp;'Data - DA'!B98</f>
        <v>Frame: 54 ----- Stem: 110x0  ----- Carbon Aerobar</v>
      </c>
      <c r="C87">
        <f>$P$8</f>
        <v>500</v>
      </c>
      <c r="D87">
        <f t="shared" ref="D87:D101" si="18">$P$9</f>
        <v>470</v>
      </c>
      <c r="E87">
        <f t="shared" ref="E87:E101" si="19">$P$10</f>
        <v>550</v>
      </c>
      <c r="G87">
        <f t="shared" si="16"/>
        <v>0</v>
      </c>
      <c r="H87" t="str">
        <f>'Data - DA'!G98</f>
        <v xml:space="preserve">Aerobar Bolts: Top N/A; Bottom N/A </v>
      </c>
    </row>
    <row r="88" spans="2:8" x14ac:dyDescent="0.25">
      <c r="B88" t="str">
        <f>TEXT($B$3,0) &amp;" ----- "&amp;'Data - DA'!B99</f>
        <v>Frame: 54 ----- Stem: 110x0  ----- Carbon Aerobar + 5</v>
      </c>
      <c r="C88">
        <f t="shared" ref="C88:C101" si="20">$P$8</f>
        <v>500</v>
      </c>
      <c r="D88">
        <f t="shared" si="18"/>
        <v>470</v>
      </c>
      <c r="E88">
        <f t="shared" si="19"/>
        <v>550</v>
      </c>
      <c r="F88">
        <f>$G$4+'Data - DA'!D99</f>
        <v>564</v>
      </c>
      <c r="G88">
        <f t="shared" si="16"/>
        <v>565</v>
      </c>
      <c r="H88" t="str">
        <f>'Data - DA'!G99</f>
        <v xml:space="preserve">Aerobar Bolts: Top 45mm; Bottom N/A </v>
      </c>
    </row>
    <row r="89" spans="2:8" x14ac:dyDescent="0.25">
      <c r="B89" t="str">
        <f>TEXT($B$3,0) &amp;" ----- "&amp;'Data - DA'!B100</f>
        <v>Frame: 54 ----- Stem: 110x0  ----- Carbon Aerobar + 10</v>
      </c>
      <c r="C89">
        <f t="shared" si="20"/>
        <v>500</v>
      </c>
      <c r="D89">
        <f t="shared" si="18"/>
        <v>470</v>
      </c>
      <c r="E89">
        <f t="shared" si="19"/>
        <v>550</v>
      </c>
      <c r="F89">
        <f>$G$4+'Data - DA'!D100</f>
        <v>569</v>
      </c>
      <c r="G89">
        <f t="shared" si="16"/>
        <v>570</v>
      </c>
      <c r="H89" t="str">
        <f>'Data - DA'!G100</f>
        <v xml:space="preserve">Aerobar Bolts: Top 50mm; Bottom N/A </v>
      </c>
    </row>
    <row r="90" spans="2:8" x14ac:dyDescent="0.25">
      <c r="B90" t="str">
        <f>TEXT($B$3,0) &amp;" ----- "&amp;'Data - DA'!B101</f>
        <v>Frame: 54 ----- Stem: 110x0  ----- Carbon Aerobar + 5 + 10</v>
      </c>
      <c r="C90">
        <f t="shared" si="20"/>
        <v>500</v>
      </c>
      <c r="D90">
        <f t="shared" si="18"/>
        <v>470</v>
      </c>
      <c r="E90">
        <f t="shared" si="19"/>
        <v>550</v>
      </c>
      <c r="F90">
        <f>$G$4+'Data - DA'!D101</f>
        <v>574</v>
      </c>
      <c r="G90">
        <f t="shared" si="16"/>
        <v>575</v>
      </c>
      <c r="H90" t="str">
        <f>'Data - DA'!G101</f>
        <v xml:space="preserve">Aerobar Bolts: Top 55mm; Bottom N/A </v>
      </c>
    </row>
    <row r="91" spans="2:8" x14ac:dyDescent="0.25">
      <c r="B91" t="str">
        <f>TEXT($B$3,0) &amp;" ----- "&amp;'Data - DA'!B102</f>
        <v>Frame: 54 ----- Stem: 110x0  ----- Carbon Aerobar + 20</v>
      </c>
      <c r="C91">
        <f t="shared" si="20"/>
        <v>500</v>
      </c>
      <c r="D91">
        <f t="shared" si="18"/>
        <v>470</v>
      </c>
      <c r="E91">
        <f t="shared" si="19"/>
        <v>550</v>
      </c>
      <c r="F91">
        <f>$G$4+'Data - DA'!D102</f>
        <v>580</v>
      </c>
      <c r="G91">
        <f t="shared" si="16"/>
        <v>580</v>
      </c>
      <c r="H91" t="str">
        <f>'Data - DA'!G102</f>
        <v xml:space="preserve">Aerobar Bolts: Top 20mm; Bottom 30mm </v>
      </c>
    </row>
    <row r="92" spans="2:8" x14ac:dyDescent="0.25">
      <c r="B92" t="str">
        <f>TEXT($B$3,0) &amp;" ----- "&amp;'Data - DA'!B103</f>
        <v>Frame: 54 ----- Stem: 110x0  ----- Carbon Aerobar + 20 + 5</v>
      </c>
      <c r="C92">
        <f t="shared" si="20"/>
        <v>500</v>
      </c>
      <c r="D92">
        <f t="shared" si="18"/>
        <v>470</v>
      </c>
      <c r="E92">
        <f t="shared" si="19"/>
        <v>550</v>
      </c>
      <c r="F92">
        <f>$G$4+'Data - DA'!D103</f>
        <v>584</v>
      </c>
      <c r="G92">
        <f t="shared" si="16"/>
        <v>585</v>
      </c>
      <c r="H92" t="str">
        <f>'Data - DA'!G103</f>
        <v xml:space="preserve">Aerobar Bolts: Top 25mm; Bottom 30mm </v>
      </c>
    </row>
    <row r="93" spans="2:8" x14ac:dyDescent="0.25">
      <c r="B93" t="str">
        <f>TEXT($B$3,0) &amp;" ----- "&amp;'Data - DA'!B104</f>
        <v>Frame: 54 ----- Stem: 110x0  ----- Carbon Aerobar + 20 + bridge</v>
      </c>
      <c r="C93">
        <f t="shared" si="20"/>
        <v>500</v>
      </c>
      <c r="D93">
        <f t="shared" si="18"/>
        <v>470</v>
      </c>
      <c r="E93">
        <f t="shared" si="19"/>
        <v>550</v>
      </c>
      <c r="F93">
        <f>$G$4+'Data - DA'!D104</f>
        <v>584</v>
      </c>
      <c r="G93">
        <f t="shared" si="16"/>
        <v>585</v>
      </c>
      <c r="H93" t="str">
        <f>'Data - DA'!G104</f>
        <v xml:space="preserve">Aerobar Bolts: Top 25mm; Bottom 30mm </v>
      </c>
    </row>
    <row r="94" spans="2:8" x14ac:dyDescent="0.25">
      <c r="B94" t="str">
        <f>TEXT($B$3,0) &amp;" ----- "&amp;'Data - DA'!B105</f>
        <v>Frame: 54 ----- Stem: 110x0  ----- Carbon Aerobar + 30</v>
      </c>
      <c r="C94">
        <f t="shared" si="20"/>
        <v>500</v>
      </c>
      <c r="D94">
        <f t="shared" si="18"/>
        <v>470</v>
      </c>
      <c r="E94">
        <f t="shared" si="19"/>
        <v>550</v>
      </c>
      <c r="F94">
        <f>$G$4+'Data - DA'!D105</f>
        <v>589</v>
      </c>
      <c r="G94">
        <f t="shared" si="16"/>
        <v>590</v>
      </c>
      <c r="H94" t="str">
        <f>'Data - DA'!G105</f>
        <v xml:space="preserve">Aerobar Bolts: Top 25mm; Bottom 30mm </v>
      </c>
    </row>
    <row r="95" spans="2:8" x14ac:dyDescent="0.25">
      <c r="B95" t="str">
        <f>TEXT($B$3,0) &amp;" ----- "&amp;'Data - DA'!B106</f>
        <v>Frame: 54 ----- Stem: 110x0  ----- Carbon Aerobar + 20 + bridge + 5</v>
      </c>
      <c r="C95">
        <f t="shared" si="20"/>
        <v>500</v>
      </c>
      <c r="D95">
        <f t="shared" si="18"/>
        <v>470</v>
      </c>
      <c r="E95">
        <f t="shared" si="19"/>
        <v>550</v>
      </c>
      <c r="F95">
        <f>$G$4+'Data - DA'!D106</f>
        <v>589</v>
      </c>
      <c r="G95">
        <f t="shared" si="16"/>
        <v>590</v>
      </c>
      <c r="H95" t="str">
        <f>'Data - DA'!G106</f>
        <v xml:space="preserve">Aerobar Bolts: Top 30mm; Bottom 30mm </v>
      </c>
    </row>
    <row r="96" spans="2:8" x14ac:dyDescent="0.25">
      <c r="B96" t="str">
        <f>TEXT($B$3,0) &amp;" ----- "&amp;'Data - DA'!B107</f>
        <v>Frame: 54 ----- Stem: 110x0  ----- Carbon Aerobar + 30 + bridge</v>
      </c>
      <c r="C96">
        <f t="shared" si="20"/>
        <v>500</v>
      </c>
      <c r="D96">
        <f t="shared" si="18"/>
        <v>470</v>
      </c>
      <c r="E96">
        <f t="shared" si="19"/>
        <v>550</v>
      </c>
      <c r="F96">
        <f>$G$4+'Data - DA'!D107</f>
        <v>594</v>
      </c>
      <c r="G96">
        <f t="shared" si="16"/>
        <v>595</v>
      </c>
      <c r="H96" t="str">
        <f>'Data - DA'!G107</f>
        <v xml:space="preserve">Aerobar Bolts: Top 30mm; Bottom 30mm </v>
      </c>
    </row>
    <row r="97" spans="2:8" x14ac:dyDescent="0.25">
      <c r="B97" t="str">
        <f>TEXT($B$3,0) &amp;" ----- "&amp;'Data - DA'!B108</f>
        <v>Frame: 54 ----- Stem: 110x0  ----- Carbon Aerobar + 30 + bridge + 5</v>
      </c>
      <c r="C97">
        <f t="shared" si="20"/>
        <v>500</v>
      </c>
      <c r="D97">
        <f t="shared" si="18"/>
        <v>470</v>
      </c>
      <c r="E97">
        <f t="shared" si="19"/>
        <v>550</v>
      </c>
      <c r="F97">
        <f>$G$4+'Data - DA'!D108</f>
        <v>599</v>
      </c>
      <c r="G97">
        <f t="shared" si="16"/>
        <v>600</v>
      </c>
      <c r="H97" t="str">
        <f>'Data - DA'!G108</f>
        <v xml:space="preserve">Aerobar Bolts: Top 35mm; Bottom 30mm </v>
      </c>
    </row>
    <row r="98" spans="2:8" x14ac:dyDescent="0.25">
      <c r="B98" t="str">
        <f>TEXT($B$3,0) &amp;" ----- "&amp;'Data - DA'!B109</f>
        <v>Frame: 54 ----- Stem: 110x0  ----- Carbon Aerobar + 40 + bridge</v>
      </c>
      <c r="C98">
        <f t="shared" si="20"/>
        <v>500</v>
      </c>
      <c r="D98">
        <f t="shared" si="18"/>
        <v>470</v>
      </c>
      <c r="E98">
        <f t="shared" si="19"/>
        <v>550</v>
      </c>
      <c r="F98">
        <f>$G$4+'Data - DA'!D109</f>
        <v>604</v>
      </c>
      <c r="G98">
        <f t="shared" ref="G98:G101" si="21">ROUND(F98/5,0)*5</f>
        <v>605</v>
      </c>
      <c r="H98" t="str">
        <f>'Data - DA'!G109</f>
        <v xml:space="preserve">Aerobar Bolts: Top 35mm; Bottom 30mm </v>
      </c>
    </row>
    <row r="99" spans="2:8" x14ac:dyDescent="0.25">
      <c r="B99" t="str">
        <f>TEXT($B$3,0) &amp;" ----- "&amp;'Data - DA'!B110</f>
        <v>Frame: 54 ----- Stem: 110x0  ----- Carbon Aerobar + 40 + bridge + 5</v>
      </c>
      <c r="C99">
        <f t="shared" si="20"/>
        <v>500</v>
      </c>
      <c r="D99">
        <f t="shared" si="18"/>
        <v>470</v>
      </c>
      <c r="E99">
        <f t="shared" si="19"/>
        <v>550</v>
      </c>
      <c r="F99">
        <f>$G$4+'Data - DA'!D110</f>
        <v>609</v>
      </c>
      <c r="G99">
        <f t="shared" si="21"/>
        <v>610</v>
      </c>
      <c r="H99" t="str">
        <f>'Data - DA'!G110</f>
        <v xml:space="preserve">Aerobar Bolts: Top 35mm; Bottom 30mm </v>
      </c>
    </row>
    <row r="100" spans="2:8" x14ac:dyDescent="0.25">
      <c r="B100" t="str">
        <f>TEXT($B$3,0) &amp;" ----- "&amp;'Data - DA'!B111</f>
        <v>Frame: 54 ----- Stem: 110x0  ----- Carbon Aerobar + 40 + bridge + 10</v>
      </c>
      <c r="C100">
        <f t="shared" si="20"/>
        <v>500</v>
      </c>
      <c r="D100">
        <f t="shared" si="18"/>
        <v>470</v>
      </c>
      <c r="E100">
        <f t="shared" si="19"/>
        <v>550</v>
      </c>
      <c r="F100">
        <f>$G$4+'Data - DA'!D111</f>
        <v>614</v>
      </c>
      <c r="G100">
        <f t="shared" si="21"/>
        <v>615</v>
      </c>
      <c r="H100" t="str">
        <f>'Data - DA'!G111</f>
        <v xml:space="preserve">Aerobar Bolts: Top 40mm; Bottom 30mm </v>
      </c>
    </row>
    <row r="101" spans="2:8" x14ac:dyDescent="0.25">
      <c r="B101" t="str">
        <f>TEXT($B$3,0) &amp;" ----- "&amp;'Data - DA'!B112</f>
        <v>Frame: 54 ----- Stem: 110x0  ----- Carbon Aerobar + 40 + bridge + 10 + 5</v>
      </c>
      <c r="C101">
        <f t="shared" si="20"/>
        <v>500</v>
      </c>
      <c r="D101">
        <f t="shared" si="18"/>
        <v>470</v>
      </c>
      <c r="E101">
        <f t="shared" si="19"/>
        <v>550</v>
      </c>
      <c r="F101">
        <f>$G$4+'Data - DA'!D112</f>
        <v>619</v>
      </c>
      <c r="G101">
        <f t="shared" si="21"/>
        <v>620</v>
      </c>
      <c r="H101" t="str">
        <f>'Data - DA'!G112</f>
        <v xml:space="preserve">Aerobar Bolts: Top 45mm; Bottom 30mm </v>
      </c>
    </row>
    <row r="102" spans="2:8" x14ac:dyDescent="0.25">
      <c r="B102" t="str">
        <f>TEXT($B$3,0) &amp;" ----- "&amp;'Data - DA'!B113</f>
        <v>Frame: 54 ----- Stem: 70x30  ----- Aluminium Aerobar</v>
      </c>
      <c r="C102">
        <f>$K$8</f>
        <v>455</v>
      </c>
      <c r="D102">
        <f t="shared" ref="D102:D116" si="22">$K$9</f>
        <v>425</v>
      </c>
      <c r="E102">
        <f t="shared" ref="E102:E116" si="23">$K$10</f>
        <v>505</v>
      </c>
      <c r="F102">
        <f>$G$4+'Data - DA'!D113</f>
        <v>605</v>
      </c>
      <c r="G102">
        <f t="shared" si="13"/>
        <v>605</v>
      </c>
      <c r="H102" t="str">
        <f>'Data - DA'!G113</f>
        <v xml:space="preserve">Aerobar Bolts: Top 20mm; Bottom N/A </v>
      </c>
    </row>
    <row r="103" spans="2:8" x14ac:dyDescent="0.25">
      <c r="B103" t="str">
        <f>TEXT($B$3,0) &amp;" ----- "&amp;'Data - DA'!B114</f>
        <v>Frame: 54 ----- Stem: 70x30  ----- Aluminium Aerobar + 5</v>
      </c>
      <c r="C103">
        <f t="shared" ref="C103:C116" si="24">$K$8</f>
        <v>455</v>
      </c>
      <c r="D103">
        <f t="shared" si="22"/>
        <v>425</v>
      </c>
      <c r="E103">
        <f t="shared" si="23"/>
        <v>505</v>
      </c>
      <c r="F103">
        <f>$G$4+'Data - DA'!D114</f>
        <v>610</v>
      </c>
      <c r="G103">
        <f t="shared" si="13"/>
        <v>610</v>
      </c>
      <c r="H103" t="str">
        <f>'Data - DA'!G114</f>
        <v xml:space="preserve">Aerobar Bolts: Top 25mm; Bottom N/A </v>
      </c>
    </row>
    <row r="104" spans="2:8" x14ac:dyDescent="0.25">
      <c r="B104" t="str">
        <f>TEXT($B$3,0) &amp;" ----- "&amp;'Data - DA'!B115</f>
        <v>Frame: 54 ----- Stem: 70x30  ----- Aluminium Aerobar + 10</v>
      </c>
      <c r="C104">
        <f t="shared" si="24"/>
        <v>455</v>
      </c>
      <c r="D104">
        <f t="shared" si="22"/>
        <v>425</v>
      </c>
      <c r="E104">
        <f t="shared" si="23"/>
        <v>505</v>
      </c>
      <c r="F104">
        <f>$G$4+'Data - DA'!D115</f>
        <v>615</v>
      </c>
      <c r="G104">
        <f t="shared" si="13"/>
        <v>615</v>
      </c>
      <c r="H104" t="str">
        <f>'Data - DA'!G115</f>
        <v xml:space="preserve">Aerobar Bolts: Top 30mm; Bottom N/A </v>
      </c>
    </row>
    <row r="105" spans="2:8" x14ac:dyDescent="0.25">
      <c r="B105" t="str">
        <f>TEXT($B$3,0) &amp;" ----- "&amp;'Data - DA'!B116</f>
        <v>Frame: 54 ----- Stem: 70x30  ----- Aluminium Aerobar + 5 + 10</v>
      </c>
      <c r="C105">
        <f t="shared" si="24"/>
        <v>455</v>
      </c>
      <c r="D105">
        <f t="shared" si="22"/>
        <v>425</v>
      </c>
      <c r="E105">
        <f t="shared" si="23"/>
        <v>505</v>
      </c>
      <c r="F105">
        <f>$G$4+'Data - DA'!D116</f>
        <v>620</v>
      </c>
      <c r="G105">
        <f t="shared" si="13"/>
        <v>620</v>
      </c>
      <c r="H105" t="str">
        <f>'Data - DA'!G116</f>
        <v xml:space="preserve">Aerobar Bolts: Top 35mm; Bottom N/A </v>
      </c>
    </row>
    <row r="106" spans="2:8" x14ac:dyDescent="0.25">
      <c r="B106" t="str">
        <f>TEXT($B$3,0) &amp;" ----- "&amp;'Data - DA'!B117</f>
        <v>Frame: 54 ----- Stem: 70x30  ----- Aluminium Aerobar + 20</v>
      </c>
      <c r="C106">
        <f t="shared" si="24"/>
        <v>455</v>
      </c>
      <c r="D106">
        <f t="shared" si="22"/>
        <v>425</v>
      </c>
      <c r="E106">
        <f t="shared" si="23"/>
        <v>505</v>
      </c>
      <c r="F106">
        <f>$G$4+'Data - DA'!D117</f>
        <v>625</v>
      </c>
      <c r="G106">
        <f t="shared" si="13"/>
        <v>625</v>
      </c>
      <c r="H106" t="str">
        <f>'Data - DA'!G117</f>
        <v xml:space="preserve">Aerobar Bolts: Top 20mm; Bottom 15mm </v>
      </c>
    </row>
    <row r="107" spans="2:8" x14ac:dyDescent="0.25">
      <c r="B107" t="str">
        <f>TEXT($B$3,0) &amp;" ----- "&amp;'Data - DA'!B118</f>
        <v>Frame: 54 ----- Stem: 70x30  ----- Aluminium Aerobar + 20 + 5</v>
      </c>
      <c r="C107">
        <f t="shared" si="24"/>
        <v>455</v>
      </c>
      <c r="D107">
        <f t="shared" si="22"/>
        <v>425</v>
      </c>
      <c r="E107">
        <f t="shared" si="23"/>
        <v>505</v>
      </c>
      <c r="F107">
        <f>$G$4+'Data - DA'!D118</f>
        <v>630</v>
      </c>
      <c r="G107">
        <f t="shared" si="13"/>
        <v>630</v>
      </c>
      <c r="H107" t="str">
        <f>'Data - DA'!G118</f>
        <v xml:space="preserve">Aerobar Bolts: Top 25mm; Bottom 15mm </v>
      </c>
    </row>
    <row r="108" spans="2:8" x14ac:dyDescent="0.25">
      <c r="B108" t="str">
        <f>TEXT($B$3,0) &amp;" ----- "&amp;'Data - DA'!B119</f>
        <v>Frame: 54 ----- Stem: 70x30  ----- Aluminium Aerobar + 20 + bridge</v>
      </c>
      <c r="C108">
        <f t="shared" si="24"/>
        <v>455</v>
      </c>
      <c r="D108">
        <f t="shared" si="22"/>
        <v>425</v>
      </c>
      <c r="E108">
        <f t="shared" si="23"/>
        <v>505</v>
      </c>
      <c r="F108">
        <f>$G$4+'Data - DA'!D119</f>
        <v>630</v>
      </c>
      <c r="G108">
        <f t="shared" si="13"/>
        <v>630</v>
      </c>
      <c r="H108" t="str">
        <f>'Data - DA'!G119</f>
        <v xml:space="preserve">Aerobar Bolts: Top 25mm; Bottom 15mm </v>
      </c>
    </row>
    <row r="109" spans="2:8" x14ac:dyDescent="0.25">
      <c r="B109" t="str">
        <f>TEXT($B$3,0) &amp;" ----- "&amp;'Data - DA'!B120</f>
        <v>Frame: 54 ----- Stem: 70x30  ----- Aluminium Aerobar + 30</v>
      </c>
      <c r="C109">
        <f t="shared" si="24"/>
        <v>455</v>
      </c>
      <c r="D109">
        <f t="shared" si="22"/>
        <v>425</v>
      </c>
      <c r="E109">
        <f t="shared" si="23"/>
        <v>505</v>
      </c>
      <c r="F109">
        <f>$G$4+'Data - DA'!D120</f>
        <v>635</v>
      </c>
      <c r="G109">
        <f t="shared" si="13"/>
        <v>635</v>
      </c>
      <c r="H109" t="str">
        <f>'Data - DA'!G120</f>
        <v xml:space="preserve">Aerobar Bolts: Top 25mm; Bottom 15mm </v>
      </c>
    </row>
    <row r="110" spans="2:8" x14ac:dyDescent="0.25">
      <c r="B110" t="str">
        <f>TEXT($B$3,0) &amp;" ----- "&amp;'Data - DA'!B121</f>
        <v>Frame: 54 ----- Stem: 70x30  ----- Aluminium Aerobar + 20 + bridge + 5</v>
      </c>
      <c r="C110">
        <f t="shared" si="24"/>
        <v>455</v>
      </c>
      <c r="D110">
        <f t="shared" si="22"/>
        <v>425</v>
      </c>
      <c r="E110">
        <f t="shared" si="23"/>
        <v>505</v>
      </c>
      <c r="F110">
        <f>$G$4+'Data - DA'!D121</f>
        <v>635</v>
      </c>
      <c r="G110">
        <f t="shared" si="13"/>
        <v>635</v>
      </c>
      <c r="H110" t="str">
        <f>'Data - DA'!G121</f>
        <v xml:space="preserve">Aerobar Bolts: Top 25mm; Bottom 15mm </v>
      </c>
    </row>
    <row r="111" spans="2:8" x14ac:dyDescent="0.25">
      <c r="B111" t="str">
        <f>TEXT($B$3,0) &amp;" ----- "&amp;'Data - DA'!B122</f>
        <v>Frame: 54 ----- Stem: 70x30  ----- Aluminium Aerobar + 30 + bridge</v>
      </c>
      <c r="C111">
        <f t="shared" si="24"/>
        <v>455</v>
      </c>
      <c r="D111">
        <f t="shared" si="22"/>
        <v>425</v>
      </c>
      <c r="E111">
        <f t="shared" si="23"/>
        <v>505</v>
      </c>
      <c r="F111">
        <f>$G$4+'Data - DA'!D122</f>
        <v>640</v>
      </c>
      <c r="G111">
        <f t="shared" si="13"/>
        <v>640</v>
      </c>
      <c r="H111" t="str">
        <f>'Data - DA'!G122</f>
        <v xml:space="preserve">Aerobar Bolts: Top 30mm; Bottom 15mm </v>
      </c>
    </row>
    <row r="112" spans="2:8" x14ac:dyDescent="0.25">
      <c r="B112" t="str">
        <f>TEXT($B$3,0) &amp;" ----- "&amp;'Data - DA'!B123</f>
        <v>Frame: 54 ----- Stem: 70x30  ----- Aluminium Aerobar + 30 + bridge + 5</v>
      </c>
      <c r="C112">
        <f t="shared" si="24"/>
        <v>455</v>
      </c>
      <c r="D112">
        <f t="shared" si="22"/>
        <v>425</v>
      </c>
      <c r="E112">
        <f t="shared" si="23"/>
        <v>505</v>
      </c>
      <c r="F112">
        <f>$G$4+'Data - DA'!D123</f>
        <v>645</v>
      </c>
      <c r="G112">
        <f t="shared" si="13"/>
        <v>645</v>
      </c>
      <c r="H112" t="str">
        <f>'Data - DA'!G123</f>
        <v xml:space="preserve">Aerobar Bolts: Top 30mm; Bottom 15mm </v>
      </c>
    </row>
    <row r="113" spans="2:8" x14ac:dyDescent="0.25">
      <c r="B113" t="str">
        <f>TEXT($B$3,0) &amp;" ----- "&amp;'Data - DA'!B124</f>
        <v>Frame: 54 ----- Stem: 70x30  ----- Aluminium Aerobar + 40 + bridge</v>
      </c>
      <c r="C113">
        <f t="shared" si="24"/>
        <v>455</v>
      </c>
      <c r="D113">
        <f t="shared" si="22"/>
        <v>425</v>
      </c>
      <c r="E113">
        <f t="shared" si="23"/>
        <v>505</v>
      </c>
      <c r="F113">
        <f>$G$4+'Data - DA'!D124</f>
        <v>650</v>
      </c>
      <c r="G113">
        <f t="shared" si="13"/>
        <v>650</v>
      </c>
      <c r="H113" t="str">
        <f>'Data - DA'!G124</f>
        <v xml:space="preserve">Aerobar Bolts: Top 35mm; Bottom 15mm </v>
      </c>
    </row>
    <row r="114" spans="2:8" x14ac:dyDescent="0.25">
      <c r="B114" t="str">
        <f>TEXT($B$3,0) &amp;" ----- "&amp;'Data - DA'!B125</f>
        <v>Frame: 54 ----- Stem: 70x30  ----- Aluminium Aerobar + 40 + bridge + 5</v>
      </c>
      <c r="C114">
        <f t="shared" si="24"/>
        <v>455</v>
      </c>
      <c r="D114">
        <f t="shared" si="22"/>
        <v>425</v>
      </c>
      <c r="E114">
        <f t="shared" si="23"/>
        <v>505</v>
      </c>
      <c r="F114">
        <f>$G$4+'Data - DA'!D125</f>
        <v>655</v>
      </c>
      <c r="G114">
        <f t="shared" si="13"/>
        <v>655</v>
      </c>
      <c r="H114" t="str">
        <f>'Data - DA'!G125</f>
        <v xml:space="preserve">Aerobar Bolts: Top 35mm; Bottom 15mm </v>
      </c>
    </row>
    <row r="115" spans="2:8" x14ac:dyDescent="0.25">
      <c r="B115" t="str">
        <f>TEXT($B$3,0) &amp;" ----- "&amp;'Data - DA'!B126</f>
        <v>Frame: 54 ----- Stem: 70x30  ----- Aluminium Aerobar + 40 + bridge + 10</v>
      </c>
      <c r="C115">
        <f t="shared" si="24"/>
        <v>455</v>
      </c>
      <c r="D115">
        <f t="shared" si="22"/>
        <v>425</v>
      </c>
      <c r="E115">
        <f t="shared" si="23"/>
        <v>505</v>
      </c>
      <c r="F115">
        <f>$G$4+'Data - DA'!D126</f>
        <v>660</v>
      </c>
      <c r="G115">
        <f t="shared" si="13"/>
        <v>660</v>
      </c>
      <c r="H115" t="str">
        <f>'Data - DA'!G126</f>
        <v xml:space="preserve">Aerobar Bolts: Top 35mm; Bottom 15mm </v>
      </c>
    </row>
    <row r="116" spans="2:8" x14ac:dyDescent="0.25">
      <c r="B116" t="str">
        <f>TEXT($B$3,0) &amp;" ----- "&amp;'Data - DA'!B127</f>
        <v>Frame: 54 ----- Stem: 70x30  ----- Aluminium Aerobar + 40 + bridge + 10 + 5</v>
      </c>
      <c r="C116">
        <f t="shared" si="24"/>
        <v>455</v>
      </c>
      <c r="D116">
        <f t="shared" si="22"/>
        <v>425</v>
      </c>
      <c r="E116">
        <f t="shared" si="23"/>
        <v>505</v>
      </c>
      <c r="F116">
        <f>$G$4+'Data - DA'!D127</f>
        <v>665</v>
      </c>
      <c r="G116">
        <f t="shared" si="13"/>
        <v>665</v>
      </c>
      <c r="H116" t="str">
        <f>'Data - DA'!G127</f>
        <v xml:space="preserve">Aerobar Bolts: Top 35mm; Bottom 25mm </v>
      </c>
    </row>
    <row r="117" spans="2:8" x14ac:dyDescent="0.25">
      <c r="B117" t="str">
        <f>TEXT($B$3,0) &amp;" ----- "&amp;'Data - DA'!B128</f>
        <v>Frame: 54 ----- Stem: 70x60  ----- Aluminium Aerobar</v>
      </c>
      <c r="C117">
        <f>$L$8</f>
        <v>445</v>
      </c>
      <c r="D117">
        <f t="shared" ref="D117:D131" si="25">$L$9</f>
        <v>415</v>
      </c>
      <c r="E117">
        <f t="shared" ref="E117:E131" si="26">$L$10</f>
        <v>495</v>
      </c>
      <c r="F117">
        <f>$G$4+'Data - DA'!D128</f>
        <v>636</v>
      </c>
      <c r="G117">
        <f t="shared" si="13"/>
        <v>635</v>
      </c>
      <c r="H117" t="str">
        <f>'Data - DA'!G128</f>
        <v xml:space="preserve">Aerobar Bolts: Top 20mm; Bottom N/A </v>
      </c>
    </row>
    <row r="118" spans="2:8" x14ac:dyDescent="0.25">
      <c r="B118" t="str">
        <f>TEXT($B$3,0) &amp;" ----- "&amp;'Data - DA'!B129</f>
        <v>Frame: 54 ----- Stem: 70x60  ----- Aluminium Aerobar + 5</v>
      </c>
      <c r="C118">
        <f t="shared" ref="C118:C131" si="27">$L$8</f>
        <v>445</v>
      </c>
      <c r="D118">
        <f t="shared" si="25"/>
        <v>415</v>
      </c>
      <c r="E118">
        <f t="shared" si="26"/>
        <v>495</v>
      </c>
      <c r="F118">
        <f>$G$4+'Data - DA'!D129</f>
        <v>641</v>
      </c>
      <c r="G118">
        <f t="shared" si="13"/>
        <v>640</v>
      </c>
      <c r="H118" t="str">
        <f>'Data - DA'!G129</f>
        <v xml:space="preserve">Aerobar Bolts: Top 25mm; Bottom N/A </v>
      </c>
    </row>
    <row r="119" spans="2:8" x14ac:dyDescent="0.25">
      <c r="B119" t="str">
        <f>TEXT($B$3,0) &amp;" ----- "&amp;'Data - DA'!B130</f>
        <v>Frame: 54 ----- Stem: 70x60  ----- Aluminium Aerobar + 10</v>
      </c>
      <c r="C119">
        <f t="shared" si="27"/>
        <v>445</v>
      </c>
      <c r="D119">
        <f t="shared" si="25"/>
        <v>415</v>
      </c>
      <c r="E119">
        <f t="shared" si="26"/>
        <v>495</v>
      </c>
      <c r="F119">
        <f>$G$4+'Data - DA'!D130</f>
        <v>646</v>
      </c>
      <c r="G119">
        <f t="shared" si="13"/>
        <v>645</v>
      </c>
      <c r="H119" t="str">
        <f>'Data - DA'!G130</f>
        <v xml:space="preserve">Aerobar Bolts: Top 30mm; Bottom N/A </v>
      </c>
    </row>
    <row r="120" spans="2:8" x14ac:dyDescent="0.25">
      <c r="B120" t="str">
        <f>TEXT($B$3,0) &amp;" ----- "&amp;'Data - DA'!B131</f>
        <v>Frame: 54 ----- Stem: 70x60  ----- Aluminium Aerobar + 5 + 10</v>
      </c>
      <c r="C120">
        <f t="shared" si="27"/>
        <v>445</v>
      </c>
      <c r="D120">
        <f t="shared" si="25"/>
        <v>415</v>
      </c>
      <c r="E120">
        <f t="shared" si="26"/>
        <v>495</v>
      </c>
      <c r="F120">
        <f>$G$4+'Data - DA'!D131</f>
        <v>651</v>
      </c>
      <c r="G120">
        <f t="shared" si="13"/>
        <v>650</v>
      </c>
      <c r="H120" t="str">
        <f>'Data - DA'!G131</f>
        <v xml:space="preserve">Aerobar Bolts: Top 35mm; Bottom N/A </v>
      </c>
    </row>
    <row r="121" spans="2:8" x14ac:dyDescent="0.25">
      <c r="B121" t="str">
        <f>TEXT($B$3,0) &amp;" ----- "&amp;'Data - DA'!B132</f>
        <v>Frame: 54 ----- Stem: 70x60  ----- Aluminium Aerobar + 20</v>
      </c>
      <c r="C121">
        <f t="shared" si="27"/>
        <v>445</v>
      </c>
      <c r="D121">
        <f t="shared" si="25"/>
        <v>415</v>
      </c>
      <c r="E121">
        <f t="shared" si="26"/>
        <v>495</v>
      </c>
      <c r="F121">
        <f>$G$4+'Data - DA'!D132</f>
        <v>656</v>
      </c>
      <c r="G121">
        <f t="shared" si="13"/>
        <v>655</v>
      </c>
      <c r="H121" t="str">
        <f>'Data - DA'!G132</f>
        <v xml:space="preserve">Aerobar Bolts: Top 20mm; Bottom 15mm </v>
      </c>
    </row>
    <row r="122" spans="2:8" x14ac:dyDescent="0.25">
      <c r="B122" t="str">
        <f>TEXT($B$3,0) &amp;" ----- "&amp;'Data - DA'!B133</f>
        <v>Frame: 54 ----- Stem: 70x60  ----- Aluminium Aerobar + 20 + 5</v>
      </c>
      <c r="C122">
        <f t="shared" si="27"/>
        <v>445</v>
      </c>
      <c r="D122">
        <f t="shared" si="25"/>
        <v>415</v>
      </c>
      <c r="E122">
        <f t="shared" si="26"/>
        <v>495</v>
      </c>
      <c r="F122">
        <f>$G$4+'Data - DA'!D133</f>
        <v>661</v>
      </c>
      <c r="G122">
        <f t="shared" si="13"/>
        <v>660</v>
      </c>
      <c r="H122" t="str">
        <f>'Data - DA'!G133</f>
        <v xml:space="preserve">Aerobar Bolts: Top 25mm; Bottom 15mm </v>
      </c>
    </row>
    <row r="123" spans="2:8" x14ac:dyDescent="0.25">
      <c r="B123" t="str">
        <f>TEXT($B$3,0) &amp;" ----- "&amp;'Data - DA'!B134</f>
        <v>Frame: 54 ----- Stem: 70x60  ----- Aluminium Aerobar + 20 + bridge</v>
      </c>
      <c r="C123">
        <f t="shared" si="27"/>
        <v>445</v>
      </c>
      <c r="D123">
        <f t="shared" si="25"/>
        <v>415</v>
      </c>
      <c r="E123">
        <f t="shared" si="26"/>
        <v>495</v>
      </c>
      <c r="F123">
        <f>$G$4+'Data - DA'!D134</f>
        <v>661</v>
      </c>
      <c r="G123">
        <f t="shared" si="13"/>
        <v>660</v>
      </c>
      <c r="H123" t="str">
        <f>'Data - DA'!G134</f>
        <v xml:space="preserve">Aerobar Bolts: Top 25mm; Bottom 15mm </v>
      </c>
    </row>
    <row r="124" spans="2:8" x14ac:dyDescent="0.25">
      <c r="B124" t="str">
        <f>TEXT($B$3,0) &amp;" ----- "&amp;'Data - DA'!B135</f>
        <v>Frame: 54 ----- Stem: 70x60  ----- Aluminium Aerobar + 30</v>
      </c>
      <c r="C124">
        <f t="shared" si="27"/>
        <v>445</v>
      </c>
      <c r="D124">
        <f t="shared" si="25"/>
        <v>415</v>
      </c>
      <c r="E124">
        <f t="shared" si="26"/>
        <v>495</v>
      </c>
      <c r="F124">
        <f>$G$4+'Data - DA'!D135</f>
        <v>666</v>
      </c>
      <c r="G124">
        <f t="shared" si="13"/>
        <v>665</v>
      </c>
      <c r="H124" t="str">
        <f>'Data - DA'!G135</f>
        <v xml:space="preserve">Aerobar Bolts: Top 25mm; Bottom 15mm </v>
      </c>
    </row>
    <row r="125" spans="2:8" x14ac:dyDescent="0.25">
      <c r="B125" t="str">
        <f>TEXT($B$3,0) &amp;" ----- "&amp;'Data - DA'!B136</f>
        <v>Frame: 54 ----- Stem: 70x60  ----- Aluminium Aerobar + 20 + bridge + 5</v>
      </c>
      <c r="C125">
        <f t="shared" si="27"/>
        <v>445</v>
      </c>
      <c r="D125">
        <f t="shared" si="25"/>
        <v>415</v>
      </c>
      <c r="E125">
        <f t="shared" si="26"/>
        <v>495</v>
      </c>
      <c r="F125">
        <f>$G$4+'Data - DA'!D136</f>
        <v>666</v>
      </c>
      <c r="G125">
        <f t="shared" si="13"/>
        <v>665</v>
      </c>
      <c r="H125" t="str">
        <f>'Data - DA'!G136</f>
        <v xml:space="preserve">Aerobar Bolts: Top 25mm; Bottom 15mm </v>
      </c>
    </row>
    <row r="126" spans="2:8" x14ac:dyDescent="0.25">
      <c r="B126" t="str">
        <f>TEXT($B$3,0) &amp;" ----- "&amp;'Data - DA'!B137</f>
        <v>Frame: 54 ----- Stem: 70x60  ----- Aluminium Aerobar + 30 + bridge</v>
      </c>
      <c r="C126">
        <f t="shared" si="27"/>
        <v>445</v>
      </c>
      <c r="D126">
        <f t="shared" si="25"/>
        <v>415</v>
      </c>
      <c r="E126">
        <f t="shared" si="26"/>
        <v>495</v>
      </c>
      <c r="F126">
        <f>$G$4+'Data - DA'!D137</f>
        <v>671</v>
      </c>
      <c r="G126">
        <f t="shared" si="13"/>
        <v>670</v>
      </c>
      <c r="H126" t="str">
        <f>'Data - DA'!G137</f>
        <v xml:space="preserve">Aerobar Bolts: Top 30mm; Bottom 15mm </v>
      </c>
    </row>
    <row r="127" spans="2:8" x14ac:dyDescent="0.25">
      <c r="B127" t="str">
        <f>TEXT($B$3,0) &amp;" ----- "&amp;'Data - DA'!B138</f>
        <v>Frame: 54 ----- Stem: 70x60  ----- Aluminium Aerobar + 30 + bridge + 5</v>
      </c>
      <c r="C127">
        <f t="shared" si="27"/>
        <v>445</v>
      </c>
      <c r="D127">
        <f t="shared" si="25"/>
        <v>415</v>
      </c>
      <c r="E127">
        <f t="shared" si="26"/>
        <v>495</v>
      </c>
      <c r="F127">
        <f>$G$4+'Data - DA'!D138</f>
        <v>676</v>
      </c>
      <c r="G127">
        <f t="shared" si="13"/>
        <v>675</v>
      </c>
      <c r="H127" t="str">
        <f>'Data - DA'!G138</f>
        <v xml:space="preserve">Aerobar Bolts: Top 30mm; Bottom 15mm </v>
      </c>
    </row>
    <row r="128" spans="2:8" x14ac:dyDescent="0.25">
      <c r="B128" t="str">
        <f>TEXT($B$3,0) &amp;" ----- "&amp;'Data - DA'!B139</f>
        <v>Frame: 54 ----- Stem: 70x60  ----- Aluminium Aerobar + 40 + bridge</v>
      </c>
      <c r="C128">
        <f t="shared" si="27"/>
        <v>445</v>
      </c>
      <c r="D128">
        <f t="shared" si="25"/>
        <v>415</v>
      </c>
      <c r="E128">
        <f t="shared" si="26"/>
        <v>495</v>
      </c>
      <c r="F128">
        <f>$G$4+'Data - DA'!D139</f>
        <v>681</v>
      </c>
      <c r="G128">
        <f t="shared" si="13"/>
        <v>680</v>
      </c>
      <c r="H128" t="str">
        <f>'Data - DA'!G139</f>
        <v xml:space="preserve">Aerobar Bolts: Top 35mm; Bottom 15mm </v>
      </c>
    </row>
    <row r="129" spans="2:8" x14ac:dyDescent="0.25">
      <c r="B129" t="str">
        <f>TEXT($B$3,0) &amp;" ----- "&amp;'Data - DA'!B140</f>
        <v>Frame: 54 ----- Stem: 70x60  ----- Aluminium Aerobar + 40 + bridge + 5</v>
      </c>
      <c r="C129">
        <f t="shared" si="27"/>
        <v>445</v>
      </c>
      <c r="D129">
        <f t="shared" si="25"/>
        <v>415</v>
      </c>
      <c r="E129">
        <f t="shared" si="26"/>
        <v>495</v>
      </c>
      <c r="F129">
        <f>$G$4+'Data - DA'!D140</f>
        <v>686</v>
      </c>
      <c r="G129">
        <f t="shared" si="13"/>
        <v>685</v>
      </c>
      <c r="H129" t="str">
        <f>'Data - DA'!G140</f>
        <v xml:space="preserve">Aerobar Bolts: Top 35mm; Bottom 15mm </v>
      </c>
    </row>
    <row r="130" spans="2:8" x14ac:dyDescent="0.25">
      <c r="B130" t="str">
        <f>TEXT($B$3,0) &amp;" ----- "&amp;'Data - DA'!B141</f>
        <v>Frame: 54 ----- Stem: 70x60  ----- Aluminium Aerobar + 40 + bridge + 10</v>
      </c>
      <c r="C130">
        <f t="shared" si="27"/>
        <v>445</v>
      </c>
      <c r="D130">
        <f t="shared" si="25"/>
        <v>415</v>
      </c>
      <c r="E130">
        <f t="shared" si="26"/>
        <v>495</v>
      </c>
      <c r="F130">
        <f>$G$4+'Data - DA'!D141</f>
        <v>691</v>
      </c>
      <c r="G130">
        <f t="shared" si="13"/>
        <v>690</v>
      </c>
      <c r="H130" t="str">
        <f>'Data - DA'!G141</f>
        <v xml:space="preserve">Aerobar Bolts: Top 35mm; Bottom 15mm </v>
      </c>
    </row>
    <row r="131" spans="2:8" x14ac:dyDescent="0.25">
      <c r="B131" t="str">
        <f>TEXT($B$3,0) &amp;" ----- "&amp;'Data - DA'!B142</f>
        <v>Frame: 54 ----- Stem: 70x60  ----- Aluminium Aerobar + 40 + bridge + 10 + 5</v>
      </c>
      <c r="C131">
        <f t="shared" si="27"/>
        <v>445</v>
      </c>
      <c r="D131">
        <f t="shared" si="25"/>
        <v>415</v>
      </c>
      <c r="E131">
        <f t="shared" si="26"/>
        <v>495</v>
      </c>
      <c r="F131">
        <f>$G$4+'Data - DA'!D142</f>
        <v>696</v>
      </c>
      <c r="G131">
        <f t="shared" si="13"/>
        <v>695</v>
      </c>
      <c r="H131" t="str">
        <f>'Data - DA'!G142</f>
        <v xml:space="preserve">Aerobar Bolts: Top 35mm; Bottom 25mm </v>
      </c>
    </row>
    <row r="132" spans="2:8" x14ac:dyDescent="0.25">
      <c r="B132" t="str">
        <f>TEXT($B$3,0) &amp;" ----- "&amp;'Data - DA'!B143</f>
        <v>Frame: 54 ----- Stem: 100x30  ----- Aluminium Aerobar</v>
      </c>
      <c r="C132">
        <f>$M$8</f>
        <v>485</v>
      </c>
      <c r="D132">
        <f t="shared" ref="D132:D146" si="28">$M$9</f>
        <v>455</v>
      </c>
      <c r="E132">
        <f t="shared" ref="E132:E146" si="29">$M$10</f>
        <v>535</v>
      </c>
      <c r="F132">
        <f>$G$4+'Data - DA'!D143</f>
        <v>606</v>
      </c>
      <c r="G132">
        <f t="shared" si="13"/>
        <v>605</v>
      </c>
      <c r="H132" t="str">
        <f>'Data - DA'!G143</f>
        <v xml:space="preserve">Aerobar Bolts: Top 20mm; Bottom N/A </v>
      </c>
    </row>
    <row r="133" spans="2:8" x14ac:dyDescent="0.25">
      <c r="B133" t="str">
        <f>TEXT($B$3,0) &amp;" ----- "&amp;'Data - DA'!B144</f>
        <v>Frame: 54 ----- Stem: 100x30  ----- Aluminium Aerobar + 5</v>
      </c>
      <c r="C133">
        <f t="shared" ref="C133:C146" si="30">$M$8</f>
        <v>485</v>
      </c>
      <c r="D133">
        <f t="shared" si="28"/>
        <v>455</v>
      </c>
      <c r="E133">
        <f t="shared" si="29"/>
        <v>535</v>
      </c>
      <c r="F133">
        <f>$G$4+'Data - DA'!D144</f>
        <v>611</v>
      </c>
      <c r="G133">
        <f t="shared" si="13"/>
        <v>610</v>
      </c>
      <c r="H133" t="str">
        <f>'Data - DA'!G144</f>
        <v xml:space="preserve">Aerobar Bolts: Top 25mm; Bottom N/A </v>
      </c>
    </row>
    <row r="134" spans="2:8" x14ac:dyDescent="0.25">
      <c r="B134" t="str">
        <f>TEXT($B$3,0) &amp;" ----- "&amp;'Data - DA'!B145</f>
        <v>Frame: 54 ----- Stem: 100x30  ----- Aluminium Aerobar + 10</v>
      </c>
      <c r="C134">
        <f t="shared" si="30"/>
        <v>485</v>
      </c>
      <c r="D134">
        <f t="shared" si="28"/>
        <v>455</v>
      </c>
      <c r="E134">
        <f t="shared" si="29"/>
        <v>535</v>
      </c>
      <c r="F134">
        <f>$G$4+'Data - DA'!D145</f>
        <v>616</v>
      </c>
      <c r="G134">
        <f t="shared" si="13"/>
        <v>615</v>
      </c>
      <c r="H134" t="str">
        <f>'Data - DA'!G145</f>
        <v xml:space="preserve">Aerobar Bolts: Top 30mm; Bottom N/A </v>
      </c>
    </row>
    <row r="135" spans="2:8" x14ac:dyDescent="0.25">
      <c r="B135" t="str">
        <f>TEXT($B$3,0) &amp;" ----- "&amp;'Data - DA'!B146</f>
        <v>Frame: 54 ----- Stem: 100x30  ----- Aluminium Aerobar + 5 + 10</v>
      </c>
      <c r="C135">
        <f t="shared" si="30"/>
        <v>485</v>
      </c>
      <c r="D135">
        <f t="shared" si="28"/>
        <v>455</v>
      </c>
      <c r="E135">
        <f t="shared" si="29"/>
        <v>535</v>
      </c>
      <c r="F135">
        <f>$G$4+'Data - DA'!D146</f>
        <v>621</v>
      </c>
      <c r="G135">
        <f t="shared" si="13"/>
        <v>620</v>
      </c>
      <c r="H135" t="str">
        <f>'Data - DA'!G146</f>
        <v xml:space="preserve">Aerobar Bolts: Top 35mm; Bottom N/A </v>
      </c>
    </row>
    <row r="136" spans="2:8" x14ac:dyDescent="0.25">
      <c r="B136" t="str">
        <f>TEXT($B$3,0) &amp;" ----- "&amp;'Data - DA'!B147</f>
        <v>Frame: 54 ----- Stem: 100x30  ----- Aluminium Aerobar + 20</v>
      </c>
      <c r="C136">
        <f t="shared" si="30"/>
        <v>485</v>
      </c>
      <c r="D136">
        <f t="shared" si="28"/>
        <v>455</v>
      </c>
      <c r="E136">
        <f t="shared" si="29"/>
        <v>535</v>
      </c>
      <c r="F136">
        <f>$G$4+'Data - DA'!D147</f>
        <v>626</v>
      </c>
      <c r="G136">
        <f t="shared" si="13"/>
        <v>625</v>
      </c>
      <c r="H136" t="str">
        <f>'Data - DA'!G147</f>
        <v xml:space="preserve">Aerobar Bolts: Top 20mm; Bottom 15mm </v>
      </c>
    </row>
    <row r="137" spans="2:8" x14ac:dyDescent="0.25">
      <c r="B137" t="str">
        <f>TEXT($B$3,0) &amp;" ----- "&amp;'Data - DA'!B148</f>
        <v>Frame: 54 ----- Stem: 100x30  ----- Aluminium Aerobar + 20 + 5</v>
      </c>
      <c r="C137">
        <f t="shared" si="30"/>
        <v>485</v>
      </c>
      <c r="D137">
        <f t="shared" si="28"/>
        <v>455</v>
      </c>
      <c r="E137">
        <f t="shared" si="29"/>
        <v>535</v>
      </c>
      <c r="F137">
        <f>$G$4+'Data - DA'!D148</f>
        <v>631</v>
      </c>
      <c r="G137">
        <f t="shared" si="13"/>
        <v>630</v>
      </c>
      <c r="H137" t="str">
        <f>'Data - DA'!G148</f>
        <v xml:space="preserve">Aerobar Bolts: Top 25mm; Bottom 15mm </v>
      </c>
    </row>
    <row r="138" spans="2:8" x14ac:dyDescent="0.25">
      <c r="B138" t="str">
        <f>TEXT($B$3,0) &amp;" ----- "&amp;'Data - DA'!B149</f>
        <v>Frame: 54 ----- Stem: 100x30  ----- Aluminium Aerobar + 20 + bridge</v>
      </c>
      <c r="C138">
        <f t="shared" si="30"/>
        <v>485</v>
      </c>
      <c r="D138">
        <f t="shared" si="28"/>
        <v>455</v>
      </c>
      <c r="E138">
        <f t="shared" si="29"/>
        <v>535</v>
      </c>
      <c r="F138">
        <f>$G$4+'Data - DA'!D149</f>
        <v>631</v>
      </c>
      <c r="G138">
        <f t="shared" si="13"/>
        <v>630</v>
      </c>
      <c r="H138" t="str">
        <f>'Data - DA'!G149</f>
        <v xml:space="preserve">Aerobar Bolts: Top 25mm; Bottom 15mm </v>
      </c>
    </row>
    <row r="139" spans="2:8" x14ac:dyDescent="0.25">
      <c r="B139" t="str">
        <f>TEXT($B$3,0) &amp;" ----- "&amp;'Data - DA'!B150</f>
        <v>Frame: 54 ----- Stem: 100x30  ----- Aluminium Aerobar + 30</v>
      </c>
      <c r="C139">
        <f t="shared" si="30"/>
        <v>485</v>
      </c>
      <c r="D139">
        <f t="shared" si="28"/>
        <v>455</v>
      </c>
      <c r="E139">
        <f t="shared" si="29"/>
        <v>535</v>
      </c>
      <c r="F139">
        <f>$G$4+'Data - DA'!D150</f>
        <v>636</v>
      </c>
      <c r="G139">
        <f t="shared" si="13"/>
        <v>635</v>
      </c>
      <c r="H139" t="str">
        <f>'Data - DA'!G150</f>
        <v xml:space="preserve">Aerobar Bolts: Top 25mm; Bottom 15mm </v>
      </c>
    </row>
    <row r="140" spans="2:8" x14ac:dyDescent="0.25">
      <c r="B140" t="str">
        <f>TEXT($B$3,0) &amp;" ----- "&amp;'Data - DA'!B151</f>
        <v>Frame: 54 ----- Stem: 100x30  ----- Aluminium Aerobar + 20 + bridge + 5</v>
      </c>
      <c r="C140">
        <f t="shared" si="30"/>
        <v>485</v>
      </c>
      <c r="D140">
        <f t="shared" si="28"/>
        <v>455</v>
      </c>
      <c r="E140">
        <f t="shared" si="29"/>
        <v>535</v>
      </c>
      <c r="F140">
        <f>$G$4+'Data - DA'!D151</f>
        <v>636</v>
      </c>
      <c r="G140">
        <f t="shared" si="13"/>
        <v>635</v>
      </c>
      <c r="H140" t="str">
        <f>'Data - DA'!G151</f>
        <v xml:space="preserve">Aerobar Bolts: Top 25mm; Bottom 15mm </v>
      </c>
    </row>
    <row r="141" spans="2:8" x14ac:dyDescent="0.25">
      <c r="B141" t="str">
        <f>TEXT($B$3,0) &amp;" ----- "&amp;'Data - DA'!B152</f>
        <v>Frame: 54 ----- Stem: 100x30  ----- Aluminium Aerobar + 30 + bridge</v>
      </c>
      <c r="C141">
        <f t="shared" si="30"/>
        <v>485</v>
      </c>
      <c r="D141">
        <f t="shared" si="28"/>
        <v>455</v>
      </c>
      <c r="E141">
        <f t="shared" si="29"/>
        <v>535</v>
      </c>
      <c r="F141">
        <f>$G$4+'Data - DA'!D152</f>
        <v>641</v>
      </c>
      <c r="G141">
        <f t="shared" si="13"/>
        <v>640</v>
      </c>
      <c r="H141" t="str">
        <f>'Data - DA'!G152</f>
        <v xml:space="preserve">Aerobar Bolts: Top 30mm; Bottom 15mm </v>
      </c>
    </row>
    <row r="142" spans="2:8" x14ac:dyDescent="0.25">
      <c r="B142" t="str">
        <f>TEXT($B$3,0) &amp;" ----- "&amp;'Data - DA'!B153</f>
        <v>Frame: 54 ----- Stem: 100x30  ----- Aluminium Aerobar + 30 + bridge + 5</v>
      </c>
      <c r="C142">
        <f t="shared" si="30"/>
        <v>485</v>
      </c>
      <c r="D142">
        <f t="shared" si="28"/>
        <v>455</v>
      </c>
      <c r="E142">
        <f t="shared" si="29"/>
        <v>535</v>
      </c>
      <c r="F142">
        <f>$G$4+'Data - DA'!D153</f>
        <v>646</v>
      </c>
      <c r="G142">
        <f t="shared" si="13"/>
        <v>645</v>
      </c>
      <c r="H142" t="str">
        <f>'Data - DA'!G153</f>
        <v xml:space="preserve">Aerobar Bolts: Top 30mm; Bottom 15mm </v>
      </c>
    </row>
    <row r="143" spans="2:8" x14ac:dyDescent="0.25">
      <c r="B143" t="str">
        <f>TEXT($B$3,0) &amp;" ----- "&amp;'Data - DA'!B154</f>
        <v>Frame: 54 ----- Stem: 100x30  ----- Aluminium Aerobar + 40 + bridge</v>
      </c>
      <c r="C143">
        <f t="shared" si="30"/>
        <v>485</v>
      </c>
      <c r="D143">
        <f t="shared" si="28"/>
        <v>455</v>
      </c>
      <c r="E143">
        <f t="shared" si="29"/>
        <v>535</v>
      </c>
      <c r="F143">
        <f>$G$4+'Data - DA'!D154</f>
        <v>651</v>
      </c>
      <c r="G143">
        <f t="shared" si="13"/>
        <v>650</v>
      </c>
      <c r="H143" t="str">
        <f>'Data - DA'!G154</f>
        <v xml:space="preserve">Aerobar Bolts: Top 35mm; Bottom 15mm </v>
      </c>
    </row>
    <row r="144" spans="2:8" x14ac:dyDescent="0.25">
      <c r="B144" t="str">
        <f>TEXT($B$3,0) &amp;" ----- "&amp;'Data - DA'!B155</f>
        <v>Frame: 54 ----- Stem: 100x30  ----- Aluminium Aerobar + 40 + bridge + 5</v>
      </c>
      <c r="C144">
        <f t="shared" si="30"/>
        <v>485</v>
      </c>
      <c r="D144">
        <f t="shared" si="28"/>
        <v>455</v>
      </c>
      <c r="E144">
        <f t="shared" si="29"/>
        <v>535</v>
      </c>
      <c r="F144">
        <f>$G$4+'Data - DA'!D155</f>
        <v>656</v>
      </c>
      <c r="G144">
        <f t="shared" si="13"/>
        <v>655</v>
      </c>
      <c r="H144" t="str">
        <f>'Data - DA'!G155</f>
        <v xml:space="preserve">Aerobar Bolts: Top 35mm; Bottom 15mm </v>
      </c>
    </row>
    <row r="145" spans="2:8" x14ac:dyDescent="0.25">
      <c r="B145" t="str">
        <f>TEXT($B$3,0) &amp;" ----- "&amp;'Data - DA'!B156</f>
        <v>Frame: 54 ----- Stem: 100x30  ----- Aluminium Aerobar + 40 + bridge + 10</v>
      </c>
      <c r="C145">
        <f t="shared" si="30"/>
        <v>485</v>
      </c>
      <c r="D145">
        <f t="shared" si="28"/>
        <v>455</v>
      </c>
      <c r="E145">
        <f t="shared" si="29"/>
        <v>535</v>
      </c>
      <c r="F145">
        <f>$G$4+'Data - DA'!D156</f>
        <v>661</v>
      </c>
      <c r="G145">
        <f t="shared" si="13"/>
        <v>660</v>
      </c>
      <c r="H145" t="str">
        <f>'Data - DA'!G156</f>
        <v xml:space="preserve">Aerobar Bolts: Top 35mm; Bottom 15mm </v>
      </c>
    </row>
    <row r="146" spans="2:8" x14ac:dyDescent="0.25">
      <c r="B146" t="str">
        <f>TEXT($B$3,0) &amp;" ----- "&amp;'Data - DA'!B157</f>
        <v>Frame: 54 ----- Stem: 100x30  ----- Aluminium Aerobar + 40 + bridge + 10 + 5</v>
      </c>
      <c r="C146">
        <f t="shared" si="30"/>
        <v>485</v>
      </c>
      <c r="D146">
        <f t="shared" si="28"/>
        <v>455</v>
      </c>
      <c r="E146">
        <f t="shared" si="29"/>
        <v>535</v>
      </c>
      <c r="F146">
        <f>$G$4+'Data - DA'!D157</f>
        <v>666</v>
      </c>
      <c r="G146">
        <f t="shared" si="13"/>
        <v>665</v>
      </c>
      <c r="H146" t="str">
        <f>'Data - DA'!G157</f>
        <v xml:space="preserve">Aerobar Bolts: Top 35mm; Bottom 25mm </v>
      </c>
    </row>
    <row r="147" spans="2:8" x14ac:dyDescent="0.25">
      <c r="B147" t="str">
        <f>TEXT($B$3,0) &amp;" ----- "&amp;'Data - DA'!B158</f>
        <v>Frame: 54 ----- Stem: 100x60  ----- Aluminium Aerobar</v>
      </c>
      <c r="C147">
        <f>$N$8</f>
        <v>475</v>
      </c>
      <c r="D147">
        <f t="shared" ref="D147:D161" si="31">$N$9</f>
        <v>445</v>
      </c>
      <c r="E147">
        <f t="shared" ref="E147:E161" si="32">$N$10</f>
        <v>525</v>
      </c>
      <c r="F147">
        <f>$G$4+'Data - DA'!D158</f>
        <v>636</v>
      </c>
      <c r="G147">
        <f t="shared" si="13"/>
        <v>635</v>
      </c>
      <c r="H147" t="str">
        <f>'Data - DA'!G158</f>
        <v xml:space="preserve">Aerobar Bolts: Top 20mm; Bottom N/A </v>
      </c>
    </row>
    <row r="148" spans="2:8" x14ac:dyDescent="0.25">
      <c r="B148" t="str">
        <f>TEXT($B$3,0) &amp;" ----- "&amp;'Data - DA'!B159</f>
        <v>Frame: 54 ----- Stem: 100x60  ----- Aluminium Aerobar + 5</v>
      </c>
      <c r="C148">
        <f t="shared" ref="C148:C161" si="33">$N$8</f>
        <v>475</v>
      </c>
      <c r="D148">
        <f t="shared" si="31"/>
        <v>445</v>
      </c>
      <c r="E148">
        <f t="shared" si="32"/>
        <v>525</v>
      </c>
      <c r="F148">
        <f>$G$4+'Data - DA'!D159</f>
        <v>641</v>
      </c>
      <c r="G148">
        <f t="shared" si="13"/>
        <v>640</v>
      </c>
      <c r="H148" t="str">
        <f>'Data - DA'!G159</f>
        <v xml:space="preserve">Aerobar Bolts: Top 25mm; Bottom N/A </v>
      </c>
    </row>
    <row r="149" spans="2:8" x14ac:dyDescent="0.25">
      <c r="B149" t="str">
        <f>TEXT($B$3,0) &amp;" ----- "&amp;'Data - DA'!B160</f>
        <v>Frame: 54 ----- Stem: 100x60  ----- Aluminium Aerobar + 10</v>
      </c>
      <c r="C149">
        <f t="shared" si="33"/>
        <v>475</v>
      </c>
      <c r="D149">
        <f t="shared" si="31"/>
        <v>445</v>
      </c>
      <c r="E149">
        <f t="shared" si="32"/>
        <v>525</v>
      </c>
      <c r="F149">
        <f>$G$4+'Data - DA'!D160</f>
        <v>646</v>
      </c>
      <c r="G149">
        <f t="shared" si="13"/>
        <v>645</v>
      </c>
      <c r="H149" t="str">
        <f>'Data - DA'!G160</f>
        <v xml:space="preserve">Aerobar Bolts: Top 30mm; Bottom N/A </v>
      </c>
    </row>
    <row r="150" spans="2:8" x14ac:dyDescent="0.25">
      <c r="B150" t="str">
        <f>TEXT($B$3,0) &amp;" ----- "&amp;'Data - DA'!B161</f>
        <v>Frame: 54 ----- Stem: 100x60  ----- Aluminium Aerobar + 5 + 10</v>
      </c>
      <c r="C150">
        <f t="shared" si="33"/>
        <v>475</v>
      </c>
      <c r="D150">
        <f t="shared" si="31"/>
        <v>445</v>
      </c>
      <c r="E150">
        <f t="shared" si="32"/>
        <v>525</v>
      </c>
      <c r="F150">
        <f>$G$4+'Data - DA'!D161</f>
        <v>651</v>
      </c>
      <c r="G150">
        <f t="shared" si="13"/>
        <v>650</v>
      </c>
      <c r="H150" t="str">
        <f>'Data - DA'!G161</f>
        <v xml:space="preserve">Aerobar Bolts: Top 35mm; Bottom N/A </v>
      </c>
    </row>
    <row r="151" spans="2:8" x14ac:dyDescent="0.25">
      <c r="B151" t="str">
        <f>TEXT($B$3,0) &amp;" ----- "&amp;'Data - DA'!B162</f>
        <v>Frame: 54 ----- Stem: 100x60  ----- Aluminium Aerobar + 20</v>
      </c>
      <c r="C151">
        <f t="shared" si="33"/>
        <v>475</v>
      </c>
      <c r="D151">
        <f t="shared" si="31"/>
        <v>445</v>
      </c>
      <c r="E151">
        <f t="shared" si="32"/>
        <v>525</v>
      </c>
      <c r="F151">
        <f>$G$4+'Data - DA'!D162</f>
        <v>656</v>
      </c>
      <c r="G151">
        <f t="shared" si="13"/>
        <v>655</v>
      </c>
      <c r="H151" t="str">
        <f>'Data - DA'!G162</f>
        <v xml:space="preserve">Aerobar Bolts: Top 20mm; Bottom 15mm </v>
      </c>
    </row>
    <row r="152" spans="2:8" x14ac:dyDescent="0.25">
      <c r="B152" t="str">
        <f>TEXT($B$3,0) &amp;" ----- "&amp;'Data - DA'!B163</f>
        <v>Frame: 54 ----- Stem: 100x60  ----- Aluminium Aerobar + 20 + 5</v>
      </c>
      <c r="C152">
        <f t="shared" si="33"/>
        <v>475</v>
      </c>
      <c r="D152">
        <f t="shared" si="31"/>
        <v>445</v>
      </c>
      <c r="E152">
        <f t="shared" si="32"/>
        <v>525</v>
      </c>
      <c r="F152">
        <f>$G$4+'Data - DA'!D163</f>
        <v>661</v>
      </c>
      <c r="G152">
        <f t="shared" ref="G152:G161" si="34">ROUND(F152/5,0)*5</f>
        <v>660</v>
      </c>
      <c r="H152" t="str">
        <f>'Data - DA'!G163</f>
        <v xml:space="preserve">Aerobar Bolts: Top 25mm; Bottom 15mm </v>
      </c>
    </row>
    <row r="153" spans="2:8" x14ac:dyDescent="0.25">
      <c r="B153" t="str">
        <f>TEXT($B$3,0) &amp;" ----- "&amp;'Data - DA'!B164</f>
        <v>Frame: 54 ----- Stem: 100x60  ----- Aluminium Aerobar + 20 + bridge</v>
      </c>
      <c r="C153">
        <f t="shared" si="33"/>
        <v>475</v>
      </c>
      <c r="D153">
        <f t="shared" si="31"/>
        <v>445</v>
      </c>
      <c r="E153">
        <f t="shared" si="32"/>
        <v>525</v>
      </c>
      <c r="F153">
        <f>$G$4+'Data - DA'!D164</f>
        <v>661</v>
      </c>
      <c r="G153">
        <f t="shared" si="34"/>
        <v>660</v>
      </c>
      <c r="H153" t="str">
        <f>'Data - DA'!G164</f>
        <v xml:space="preserve">Aerobar Bolts: Top 25mm; Bottom 15mm </v>
      </c>
    </row>
    <row r="154" spans="2:8" x14ac:dyDescent="0.25">
      <c r="B154" t="str">
        <f>TEXT($B$3,0) &amp;" ----- "&amp;'Data - DA'!B165</f>
        <v>Frame: 54 ----- Stem: 100x60  ----- Aluminium Aerobar + 30</v>
      </c>
      <c r="C154">
        <f t="shared" si="33"/>
        <v>475</v>
      </c>
      <c r="D154">
        <f t="shared" si="31"/>
        <v>445</v>
      </c>
      <c r="E154">
        <f t="shared" si="32"/>
        <v>525</v>
      </c>
      <c r="F154">
        <f>$G$4+'Data - DA'!D165</f>
        <v>666</v>
      </c>
      <c r="G154">
        <f t="shared" si="34"/>
        <v>665</v>
      </c>
      <c r="H154" t="str">
        <f>'Data - DA'!G165</f>
        <v xml:space="preserve">Aerobar Bolts: Top 25mm; Bottom 15mm </v>
      </c>
    </row>
    <row r="155" spans="2:8" x14ac:dyDescent="0.25">
      <c r="B155" t="str">
        <f>TEXT($B$3,0) &amp;" ----- "&amp;'Data - DA'!B166</f>
        <v>Frame: 54 ----- Stem: 100x60  ----- Aluminium Aerobar + 20 + bridge + 5</v>
      </c>
      <c r="C155">
        <f t="shared" si="33"/>
        <v>475</v>
      </c>
      <c r="D155">
        <f t="shared" si="31"/>
        <v>445</v>
      </c>
      <c r="E155">
        <f t="shared" si="32"/>
        <v>525</v>
      </c>
      <c r="F155">
        <f>$G$4+'Data - DA'!D166</f>
        <v>666</v>
      </c>
      <c r="G155">
        <f t="shared" si="34"/>
        <v>665</v>
      </c>
      <c r="H155" t="str">
        <f>'Data - DA'!G166</f>
        <v xml:space="preserve">Aerobar Bolts: Top 25mm; Bottom 15mm </v>
      </c>
    </row>
    <row r="156" spans="2:8" x14ac:dyDescent="0.25">
      <c r="B156" t="str">
        <f>TEXT($B$3,0) &amp;" ----- "&amp;'Data - DA'!B167</f>
        <v>Frame: 54 ----- Stem: 100x60  ----- Aluminium Aerobar + 30 + bridge</v>
      </c>
      <c r="C156">
        <f t="shared" si="33"/>
        <v>475</v>
      </c>
      <c r="D156">
        <f t="shared" si="31"/>
        <v>445</v>
      </c>
      <c r="E156">
        <f t="shared" si="32"/>
        <v>525</v>
      </c>
      <c r="F156">
        <f>$G$4+'Data - DA'!D167</f>
        <v>671</v>
      </c>
      <c r="G156">
        <f t="shared" si="34"/>
        <v>670</v>
      </c>
      <c r="H156" t="str">
        <f>'Data - DA'!G167</f>
        <v xml:space="preserve">Aerobar Bolts: Top 30mm; Bottom 15mm </v>
      </c>
    </row>
    <row r="157" spans="2:8" x14ac:dyDescent="0.25">
      <c r="B157" t="str">
        <f>TEXT($B$3,0) &amp;" ----- "&amp;'Data - DA'!B168</f>
        <v>Frame: 54 ----- Stem: 100x60  ----- Aluminium Aerobar + 30 + bridge + 5</v>
      </c>
      <c r="C157">
        <f t="shared" si="33"/>
        <v>475</v>
      </c>
      <c r="D157">
        <f t="shared" si="31"/>
        <v>445</v>
      </c>
      <c r="E157">
        <f t="shared" si="32"/>
        <v>525</v>
      </c>
      <c r="F157">
        <f>$G$4+'Data - DA'!D168</f>
        <v>676</v>
      </c>
      <c r="G157">
        <f t="shared" si="34"/>
        <v>675</v>
      </c>
      <c r="H157" t="str">
        <f>'Data - DA'!G168</f>
        <v xml:space="preserve">Aerobar Bolts: Top 30mm; Bottom 15mm </v>
      </c>
    </row>
    <row r="158" spans="2:8" x14ac:dyDescent="0.25">
      <c r="B158" t="str">
        <f>TEXT($B$3,0) &amp;" ----- "&amp;'Data - DA'!B169</f>
        <v>Frame: 54 ----- Stem: 100x60  ----- Aluminium Aerobar + 40 + bridge</v>
      </c>
      <c r="C158">
        <f t="shared" si="33"/>
        <v>475</v>
      </c>
      <c r="D158">
        <f t="shared" si="31"/>
        <v>445</v>
      </c>
      <c r="E158">
        <f t="shared" si="32"/>
        <v>525</v>
      </c>
      <c r="F158">
        <f>$G$4+'Data - DA'!D169</f>
        <v>681</v>
      </c>
      <c r="G158">
        <f t="shared" si="34"/>
        <v>680</v>
      </c>
      <c r="H158" t="str">
        <f>'Data - DA'!G169</f>
        <v xml:space="preserve">Aerobar Bolts: Top 35mm; Bottom 15mm </v>
      </c>
    </row>
    <row r="159" spans="2:8" x14ac:dyDescent="0.25">
      <c r="B159" t="str">
        <f>TEXT($B$3,0) &amp;" ----- "&amp;'Data - DA'!B170</f>
        <v>Frame: 54 ----- Stem: 100x60  ----- Aluminium Aerobar + 40 + bridge + 5</v>
      </c>
      <c r="C159">
        <f t="shared" si="33"/>
        <v>475</v>
      </c>
      <c r="D159">
        <f t="shared" si="31"/>
        <v>445</v>
      </c>
      <c r="E159">
        <f t="shared" si="32"/>
        <v>525</v>
      </c>
      <c r="F159">
        <f>$G$4+'Data - DA'!D170</f>
        <v>686</v>
      </c>
      <c r="G159">
        <f t="shared" si="34"/>
        <v>685</v>
      </c>
      <c r="H159" t="str">
        <f>'Data - DA'!G170</f>
        <v xml:space="preserve">Aerobar Bolts: Top 35mm; Bottom 15mm </v>
      </c>
    </row>
    <row r="160" spans="2:8" x14ac:dyDescent="0.25">
      <c r="B160" t="str">
        <f>TEXT($B$3,0) &amp;" ----- "&amp;'Data - DA'!B171</f>
        <v>Frame: 54 ----- Stem: 100x60  ----- Aluminium Aerobar + 40 + bridge + 10</v>
      </c>
      <c r="C160">
        <f t="shared" si="33"/>
        <v>475</v>
      </c>
      <c r="D160">
        <f t="shared" si="31"/>
        <v>445</v>
      </c>
      <c r="E160">
        <f t="shared" si="32"/>
        <v>525</v>
      </c>
      <c r="F160">
        <f>$G$4+'Data - DA'!D171</f>
        <v>691</v>
      </c>
      <c r="G160">
        <f t="shared" si="34"/>
        <v>690</v>
      </c>
      <c r="H160" t="str">
        <f>'Data - DA'!G171</f>
        <v xml:space="preserve">Aerobar Bolts: Top 35mm; Bottom 15mm </v>
      </c>
    </row>
    <row r="161" spans="2:8" x14ac:dyDescent="0.25">
      <c r="B161" t="str">
        <f>TEXT($B$3,0) &amp;" ----- "&amp;'Data - DA'!B172</f>
        <v>Frame: 54 ----- Stem: 100x60  ----- Aluminium Aerobar + 40 + bridge + 10 + 5</v>
      </c>
      <c r="C161">
        <f t="shared" si="33"/>
        <v>475</v>
      </c>
      <c r="D161">
        <f t="shared" si="31"/>
        <v>445</v>
      </c>
      <c r="E161">
        <f t="shared" si="32"/>
        <v>525</v>
      </c>
      <c r="F161">
        <f>$G$4+'Data - DA'!D172</f>
        <v>696</v>
      </c>
      <c r="G161">
        <f t="shared" si="34"/>
        <v>695</v>
      </c>
      <c r="H161" t="str">
        <f>'Data - DA'!G172</f>
        <v xml:space="preserve">Aerobar Bolts: Top 35mm; Bottom 25mm </v>
      </c>
    </row>
    <row r="162" spans="2:8" x14ac:dyDescent="0.25">
      <c r="B162" t="str">
        <f>TEXT($B$3,0) &amp;" ----- "&amp;'Data - DA'!B173</f>
        <v>Frame: 54 ----- Stem: 90x0  ----- Aluminium Aerobar</v>
      </c>
      <c r="C162">
        <f>$O$8</f>
        <v>480</v>
      </c>
      <c r="D162">
        <f t="shared" ref="D162:D176" si="35">$O$9</f>
        <v>450</v>
      </c>
      <c r="E162">
        <f t="shared" ref="E162:E176" si="36">$O$10</f>
        <v>530</v>
      </c>
      <c r="F162">
        <f>$G$4+'Data - DA'!D173</f>
        <v>574</v>
      </c>
      <c r="G162">
        <f t="shared" ref="G162:G188" si="37">ROUND(F162/5,0)*5</f>
        <v>575</v>
      </c>
      <c r="H162" t="str">
        <f>'Data - DA'!G173</f>
        <v xml:space="preserve">Aerobar Bolts: Top 20mm; Bottom N/A </v>
      </c>
    </row>
    <row r="163" spans="2:8" x14ac:dyDescent="0.25">
      <c r="B163" t="str">
        <f>TEXT($B$3,0) &amp;" ----- "&amp;'Data - DA'!B174</f>
        <v>Frame: 54 ----- Stem: 90x0  ----- Aluminium Aerobar + 5</v>
      </c>
      <c r="C163">
        <f t="shared" ref="C163:C176" si="38">$O$8</f>
        <v>480</v>
      </c>
      <c r="D163">
        <f t="shared" si="35"/>
        <v>450</v>
      </c>
      <c r="E163">
        <f t="shared" si="36"/>
        <v>530</v>
      </c>
      <c r="F163">
        <f>$G$4+'Data - DA'!D174</f>
        <v>579</v>
      </c>
      <c r="G163">
        <f t="shared" si="37"/>
        <v>580</v>
      </c>
      <c r="H163" t="str">
        <f>'Data - DA'!G174</f>
        <v xml:space="preserve">Aerobar Bolts: Top 25mm; Bottom N/A </v>
      </c>
    </row>
    <row r="164" spans="2:8" x14ac:dyDescent="0.25">
      <c r="B164" t="str">
        <f>TEXT($B$3,0) &amp;" ----- "&amp;'Data - DA'!B175</f>
        <v>Frame: 54 ----- Stem: 90x0  ----- Aluminium Aerobar + 10</v>
      </c>
      <c r="C164">
        <f t="shared" si="38"/>
        <v>480</v>
      </c>
      <c r="D164">
        <f t="shared" si="35"/>
        <v>450</v>
      </c>
      <c r="E164">
        <f t="shared" si="36"/>
        <v>530</v>
      </c>
      <c r="F164">
        <f>$G$4+'Data - DA'!D175</f>
        <v>584</v>
      </c>
      <c r="G164">
        <f t="shared" si="37"/>
        <v>585</v>
      </c>
      <c r="H164" t="str">
        <f>'Data - DA'!G175</f>
        <v xml:space="preserve">Aerobar Bolts: Top 30mm; Bottom N/A </v>
      </c>
    </row>
    <row r="165" spans="2:8" x14ac:dyDescent="0.25">
      <c r="B165" t="str">
        <f>TEXT($B$3,0) &amp;" ----- "&amp;'Data - DA'!B176</f>
        <v>Frame: 54 ----- Stem: 90x0  ----- Aluminium Aerobar + 5 + 10</v>
      </c>
      <c r="C165">
        <f t="shared" si="38"/>
        <v>480</v>
      </c>
      <c r="D165">
        <f t="shared" si="35"/>
        <v>450</v>
      </c>
      <c r="E165">
        <f t="shared" si="36"/>
        <v>530</v>
      </c>
      <c r="F165">
        <f>$G$4+'Data - DA'!D176</f>
        <v>589</v>
      </c>
      <c r="G165">
        <f t="shared" si="37"/>
        <v>590</v>
      </c>
      <c r="H165" t="str">
        <f>'Data - DA'!G176</f>
        <v xml:space="preserve">Aerobar Bolts: Top 35mm; Bottom N/A </v>
      </c>
    </row>
    <row r="166" spans="2:8" x14ac:dyDescent="0.25">
      <c r="B166" t="str">
        <f>TEXT($B$3,0) &amp;" ----- "&amp;'Data - DA'!B177</f>
        <v>Frame: 54 ----- Stem: 90x0  ----- Aluminium Aerobar + 20</v>
      </c>
      <c r="C166">
        <f t="shared" si="38"/>
        <v>480</v>
      </c>
      <c r="D166">
        <f t="shared" si="35"/>
        <v>450</v>
      </c>
      <c r="E166">
        <f t="shared" si="36"/>
        <v>530</v>
      </c>
      <c r="F166">
        <f>$G$4+'Data - DA'!D177</f>
        <v>594</v>
      </c>
      <c r="G166">
        <f t="shared" si="37"/>
        <v>595</v>
      </c>
      <c r="H166" t="str">
        <f>'Data - DA'!G177</f>
        <v xml:space="preserve">Aerobar Bolts: Top 20mm; Bottom 15mm </v>
      </c>
    </row>
    <row r="167" spans="2:8" x14ac:dyDescent="0.25">
      <c r="B167" t="str">
        <f>TEXT($B$3,0) &amp;" ----- "&amp;'Data - DA'!B178</f>
        <v>Frame: 54 ----- Stem: 90x0  ----- Aluminium Aerobar + 20 + 5</v>
      </c>
      <c r="C167">
        <f t="shared" si="38"/>
        <v>480</v>
      </c>
      <c r="D167">
        <f t="shared" si="35"/>
        <v>450</v>
      </c>
      <c r="E167">
        <f t="shared" si="36"/>
        <v>530</v>
      </c>
      <c r="F167">
        <f>$G$4+'Data - DA'!D178</f>
        <v>599</v>
      </c>
      <c r="G167">
        <f t="shared" si="37"/>
        <v>600</v>
      </c>
      <c r="H167" t="str">
        <f>'Data - DA'!G178</f>
        <v xml:space="preserve">Aerobar Bolts: Top 25mm; Bottom 15mm </v>
      </c>
    </row>
    <row r="168" spans="2:8" x14ac:dyDescent="0.25">
      <c r="B168" t="str">
        <f>TEXT($B$3,0) &amp;" ----- "&amp;'Data - DA'!B179</f>
        <v>Frame: 54 ----- Stem: 90x0  ----- Aluminium Aerobar + 20 + bridge</v>
      </c>
      <c r="C168">
        <f t="shared" si="38"/>
        <v>480</v>
      </c>
      <c r="D168">
        <f t="shared" si="35"/>
        <v>450</v>
      </c>
      <c r="E168">
        <f t="shared" si="36"/>
        <v>530</v>
      </c>
      <c r="F168">
        <f>$G$4+'Data - DA'!D179</f>
        <v>599</v>
      </c>
      <c r="G168">
        <f t="shared" si="37"/>
        <v>600</v>
      </c>
      <c r="H168" t="str">
        <f>'Data - DA'!G179</f>
        <v xml:space="preserve">Aerobar Bolts: Top 25mm; Bottom 15mm </v>
      </c>
    </row>
    <row r="169" spans="2:8" x14ac:dyDescent="0.25">
      <c r="B169" t="str">
        <f>TEXT($B$3,0) &amp;" ----- "&amp;'Data - DA'!B180</f>
        <v>Frame: 54 ----- Stem: 90x0  ----- Aluminium Aerobar + 30</v>
      </c>
      <c r="C169">
        <f t="shared" si="38"/>
        <v>480</v>
      </c>
      <c r="D169">
        <f t="shared" si="35"/>
        <v>450</v>
      </c>
      <c r="E169">
        <f t="shared" si="36"/>
        <v>530</v>
      </c>
      <c r="F169">
        <f>$G$4+'Data - DA'!D180</f>
        <v>604</v>
      </c>
      <c r="G169">
        <f t="shared" si="37"/>
        <v>605</v>
      </c>
      <c r="H169" t="str">
        <f>'Data - DA'!G180</f>
        <v xml:space="preserve">Aerobar Bolts: Top 25mm; Bottom 15mm </v>
      </c>
    </row>
    <row r="170" spans="2:8" x14ac:dyDescent="0.25">
      <c r="B170" t="str">
        <f>TEXT($B$3,0) &amp;" ----- "&amp;'Data - DA'!B181</f>
        <v>Frame: 54 ----- Stem: 90x0  ----- Aluminium Aerobar + 20 + bridge + 5</v>
      </c>
      <c r="C170">
        <f t="shared" si="38"/>
        <v>480</v>
      </c>
      <c r="D170">
        <f t="shared" si="35"/>
        <v>450</v>
      </c>
      <c r="E170">
        <f t="shared" si="36"/>
        <v>530</v>
      </c>
      <c r="F170">
        <f>$G$4+'Data - DA'!D181</f>
        <v>604</v>
      </c>
      <c r="G170">
        <f t="shared" si="37"/>
        <v>605</v>
      </c>
      <c r="H170" t="str">
        <f>'Data - DA'!G181</f>
        <v xml:space="preserve">Aerobar Bolts: Top 25mm; Bottom 15mm </v>
      </c>
    </row>
    <row r="171" spans="2:8" x14ac:dyDescent="0.25">
      <c r="B171" t="str">
        <f>TEXT($B$3,0) &amp;" ----- "&amp;'Data - DA'!B182</f>
        <v>Frame: 54 ----- Stem: 90x0  ----- Aluminium Aerobar + 30 + bridge</v>
      </c>
      <c r="C171">
        <f t="shared" si="38"/>
        <v>480</v>
      </c>
      <c r="D171">
        <f t="shared" si="35"/>
        <v>450</v>
      </c>
      <c r="E171">
        <f t="shared" si="36"/>
        <v>530</v>
      </c>
      <c r="F171">
        <f>$G$4+'Data - DA'!D182</f>
        <v>609</v>
      </c>
      <c r="G171">
        <f t="shared" si="37"/>
        <v>610</v>
      </c>
      <c r="H171" t="str">
        <f>'Data - DA'!G182</f>
        <v xml:space="preserve">Aerobar Bolts: Top 30mm; Bottom 15mm </v>
      </c>
    </row>
    <row r="172" spans="2:8" x14ac:dyDescent="0.25">
      <c r="B172" t="str">
        <f>TEXT($B$3,0) &amp;" ----- "&amp;'Data - DA'!B183</f>
        <v>Frame: 54 ----- Stem: 90x0  ----- Aluminium Aerobar + 30 + bridge + 5</v>
      </c>
      <c r="C172">
        <f t="shared" si="38"/>
        <v>480</v>
      </c>
      <c r="D172">
        <f t="shared" si="35"/>
        <v>450</v>
      </c>
      <c r="E172">
        <f t="shared" si="36"/>
        <v>530</v>
      </c>
      <c r="F172">
        <f>$G$4+'Data - DA'!D183</f>
        <v>614</v>
      </c>
      <c r="G172">
        <f t="shared" si="37"/>
        <v>615</v>
      </c>
      <c r="H172" t="str">
        <f>'Data - DA'!G183</f>
        <v xml:space="preserve">Aerobar Bolts: Top 30mm; Bottom 15mm </v>
      </c>
    </row>
    <row r="173" spans="2:8" x14ac:dyDescent="0.25">
      <c r="B173" t="str">
        <f>TEXT($B$3,0) &amp;" ----- "&amp;'Data - DA'!B184</f>
        <v>Frame: 54 ----- Stem: 90x0  ----- Aluminium Aerobar + 40 + bridge</v>
      </c>
      <c r="C173">
        <f t="shared" si="38"/>
        <v>480</v>
      </c>
      <c r="D173">
        <f t="shared" si="35"/>
        <v>450</v>
      </c>
      <c r="E173">
        <f t="shared" si="36"/>
        <v>530</v>
      </c>
      <c r="F173">
        <f>$G$4+'Data - DA'!D184</f>
        <v>619</v>
      </c>
      <c r="G173">
        <f t="shared" si="37"/>
        <v>620</v>
      </c>
      <c r="H173" t="str">
        <f>'Data - DA'!G184</f>
        <v xml:space="preserve">Aerobar Bolts: Top 35mm; Bottom 15mm </v>
      </c>
    </row>
    <row r="174" spans="2:8" x14ac:dyDescent="0.25">
      <c r="B174" t="str">
        <f>TEXT($B$3,0) &amp;" ----- "&amp;'Data - DA'!B185</f>
        <v>Frame: 54 ----- Stem: 90x0  ----- Aluminium Aerobar + 40 + bridge + 5</v>
      </c>
      <c r="C174">
        <f t="shared" si="38"/>
        <v>480</v>
      </c>
      <c r="D174">
        <f t="shared" si="35"/>
        <v>450</v>
      </c>
      <c r="E174">
        <f t="shared" si="36"/>
        <v>530</v>
      </c>
      <c r="F174">
        <f>$G$4+'Data - DA'!D185</f>
        <v>624</v>
      </c>
      <c r="G174">
        <f t="shared" si="37"/>
        <v>625</v>
      </c>
      <c r="H174" t="str">
        <f>'Data - DA'!G185</f>
        <v xml:space="preserve">Aerobar Bolts: Top 35mm; Bottom 15mm </v>
      </c>
    </row>
    <row r="175" spans="2:8" x14ac:dyDescent="0.25">
      <c r="B175" t="str">
        <f>TEXT($B$3,0) &amp;" ----- "&amp;'Data - DA'!B186</f>
        <v>Frame: 54 ----- Stem: 90x0  ----- Aluminium Aerobar + 40 + bridge + 10</v>
      </c>
      <c r="C175">
        <f t="shared" si="38"/>
        <v>480</v>
      </c>
      <c r="D175">
        <f t="shared" si="35"/>
        <v>450</v>
      </c>
      <c r="E175">
        <f t="shared" si="36"/>
        <v>530</v>
      </c>
      <c r="F175">
        <f>$G$4+'Data - DA'!D186</f>
        <v>629</v>
      </c>
      <c r="G175">
        <f t="shared" si="37"/>
        <v>630</v>
      </c>
      <c r="H175" t="str">
        <f>'Data - DA'!G186</f>
        <v xml:space="preserve">Aerobar Bolts: Top 35mm; Bottom 15mm </v>
      </c>
    </row>
    <row r="176" spans="2:8" x14ac:dyDescent="0.25">
      <c r="B176" t="str">
        <f>TEXT($B$3,0) &amp;" ----- "&amp;'Data - DA'!B187</f>
        <v>Frame: 54 ----- Stem: 90x0  ----- Aluminium Aerobar + 40 + bridge + 10 + 5</v>
      </c>
      <c r="C176">
        <f t="shared" si="38"/>
        <v>480</v>
      </c>
      <c r="D176">
        <f t="shared" si="35"/>
        <v>450</v>
      </c>
      <c r="E176">
        <f t="shared" si="36"/>
        <v>530</v>
      </c>
      <c r="F176">
        <f>$G$4+'Data - DA'!D187</f>
        <v>634</v>
      </c>
      <c r="G176">
        <f t="shared" si="37"/>
        <v>635</v>
      </c>
      <c r="H176" t="str">
        <f>'Data - DA'!G187</f>
        <v xml:space="preserve">Aerobar Bolts: Top 35mm; Bottom 25mm </v>
      </c>
    </row>
    <row r="177" spans="2:8" x14ac:dyDescent="0.25">
      <c r="B177" t="str">
        <f>TEXT($B$3,0) &amp;" ----- "&amp;'Data - DA'!B188</f>
        <v>Frame: 54 ----- Stem: 110x0  ----- Aluminium Aerobar</v>
      </c>
      <c r="C177">
        <f>$P$8</f>
        <v>500</v>
      </c>
      <c r="D177">
        <f t="shared" ref="D177:D191" si="39">$P$9</f>
        <v>470</v>
      </c>
      <c r="E177">
        <f t="shared" ref="E177:E191" si="40">$P$10</f>
        <v>550</v>
      </c>
      <c r="F177">
        <f>$G$4+'Data - DA'!D188</f>
        <v>574</v>
      </c>
      <c r="G177">
        <f t="shared" si="37"/>
        <v>575</v>
      </c>
      <c r="H177" t="str">
        <f>'Data - DA'!G188</f>
        <v xml:space="preserve">Aerobar Bolts: Top 20mm; Bottom N/A </v>
      </c>
    </row>
    <row r="178" spans="2:8" x14ac:dyDescent="0.25">
      <c r="B178" t="str">
        <f>TEXT($B$3,0) &amp;" ----- "&amp;'Data - DA'!B189</f>
        <v>Frame: 54 ----- Stem: 110x0  ----- Aluminium Aerobar + 5</v>
      </c>
      <c r="C178">
        <f t="shared" ref="C178:C191" si="41">$P$8</f>
        <v>500</v>
      </c>
      <c r="D178">
        <f t="shared" si="39"/>
        <v>470</v>
      </c>
      <c r="E178">
        <f t="shared" si="40"/>
        <v>550</v>
      </c>
      <c r="F178">
        <f>$G$4+'Data - DA'!D189</f>
        <v>579</v>
      </c>
      <c r="G178">
        <f t="shared" si="37"/>
        <v>580</v>
      </c>
      <c r="H178" t="str">
        <f>'Data - DA'!G189</f>
        <v xml:space="preserve">Aerobar Bolts: Top 25mm; Bottom N/A </v>
      </c>
    </row>
    <row r="179" spans="2:8" x14ac:dyDescent="0.25">
      <c r="B179" t="str">
        <f>TEXT($B$3,0) &amp;" ----- "&amp;'Data - DA'!B190</f>
        <v>Frame: 54 ----- Stem: 110x0  ----- Aluminium Aerobar + 10</v>
      </c>
      <c r="C179">
        <f t="shared" si="41"/>
        <v>500</v>
      </c>
      <c r="D179">
        <f t="shared" si="39"/>
        <v>470</v>
      </c>
      <c r="E179">
        <f t="shared" si="40"/>
        <v>550</v>
      </c>
      <c r="F179">
        <f>$G$4+'Data - DA'!D190</f>
        <v>584</v>
      </c>
      <c r="G179">
        <f t="shared" si="37"/>
        <v>585</v>
      </c>
      <c r="H179" t="str">
        <f>'Data - DA'!G190</f>
        <v xml:space="preserve">Aerobar Bolts: Top 30mm; Bottom N/A </v>
      </c>
    </row>
    <row r="180" spans="2:8" x14ac:dyDescent="0.25">
      <c r="B180" t="str">
        <f>TEXT($B$3,0) &amp;" ----- "&amp;'Data - DA'!B191</f>
        <v>Frame: 54 ----- Stem: 110x0  ----- Aluminium Aerobar + 5 + 10</v>
      </c>
      <c r="C180">
        <f t="shared" si="41"/>
        <v>500</v>
      </c>
      <c r="D180">
        <f t="shared" si="39"/>
        <v>470</v>
      </c>
      <c r="E180">
        <f t="shared" si="40"/>
        <v>550</v>
      </c>
      <c r="F180">
        <f>$G$4+'Data - DA'!D191</f>
        <v>590</v>
      </c>
      <c r="G180">
        <f t="shared" si="37"/>
        <v>590</v>
      </c>
      <c r="H180" t="str">
        <f>'Data - DA'!G191</f>
        <v xml:space="preserve">Aerobar Bolts: Top 35mm; Bottom N/A </v>
      </c>
    </row>
    <row r="181" spans="2:8" x14ac:dyDescent="0.25">
      <c r="B181" t="str">
        <f>TEXT($B$3,0) &amp;" ----- "&amp;'Data - DA'!B192</f>
        <v>Frame: 54 ----- Stem: 110x0  ----- Aluminium Aerobar + 20</v>
      </c>
      <c r="C181">
        <f t="shared" si="41"/>
        <v>500</v>
      </c>
      <c r="D181">
        <f t="shared" si="39"/>
        <v>470</v>
      </c>
      <c r="E181">
        <f t="shared" si="40"/>
        <v>550</v>
      </c>
      <c r="F181">
        <f>$G$4+'Data - DA'!D192</f>
        <v>594</v>
      </c>
      <c r="G181">
        <f t="shared" si="37"/>
        <v>595</v>
      </c>
      <c r="H181" t="str">
        <f>'Data - DA'!G192</f>
        <v xml:space="preserve">Aerobar Bolts: Top 20mm; Bottom 15mm </v>
      </c>
    </row>
    <row r="182" spans="2:8" x14ac:dyDescent="0.25">
      <c r="B182" t="str">
        <f>TEXT($B$3,0) &amp;" ----- "&amp;'Data - DA'!B193</f>
        <v>Frame: 54 ----- Stem: 110x0  ----- Aluminium Aerobar + 20 + 5</v>
      </c>
      <c r="C182">
        <f t="shared" si="41"/>
        <v>500</v>
      </c>
      <c r="D182">
        <f t="shared" si="39"/>
        <v>470</v>
      </c>
      <c r="E182">
        <f t="shared" si="40"/>
        <v>550</v>
      </c>
      <c r="F182">
        <f>$G$4+'Data - DA'!D193</f>
        <v>599</v>
      </c>
      <c r="G182">
        <f t="shared" si="37"/>
        <v>600</v>
      </c>
      <c r="H182" t="str">
        <f>'Data - DA'!G193</f>
        <v xml:space="preserve">Aerobar Bolts: Top 25mm; Bottom 15mm </v>
      </c>
    </row>
    <row r="183" spans="2:8" x14ac:dyDescent="0.25">
      <c r="B183" t="str">
        <f>TEXT($B$3,0) &amp;" ----- "&amp;'Data - DA'!B194</f>
        <v>Frame: 54 ----- Stem: 110x0  ----- Aluminium Aerobar + 20 + bridge</v>
      </c>
      <c r="C183">
        <f t="shared" si="41"/>
        <v>500</v>
      </c>
      <c r="D183">
        <f t="shared" si="39"/>
        <v>470</v>
      </c>
      <c r="E183">
        <f t="shared" si="40"/>
        <v>550</v>
      </c>
      <c r="F183">
        <f>$G$4+'Data - DA'!D194</f>
        <v>599</v>
      </c>
      <c r="G183">
        <f t="shared" si="37"/>
        <v>600</v>
      </c>
      <c r="H183" t="str">
        <f>'Data - DA'!G194</f>
        <v xml:space="preserve">Aerobar Bolts: Top 25mm; Bottom 15mm </v>
      </c>
    </row>
    <row r="184" spans="2:8" x14ac:dyDescent="0.25">
      <c r="B184" t="str">
        <f>TEXT($B$3,0) &amp;" ----- "&amp;'Data - DA'!B195</f>
        <v>Frame: 54 ----- Stem: 110x0  ----- Aluminium Aerobar + 30</v>
      </c>
      <c r="C184">
        <f t="shared" si="41"/>
        <v>500</v>
      </c>
      <c r="D184">
        <f t="shared" si="39"/>
        <v>470</v>
      </c>
      <c r="E184">
        <f t="shared" si="40"/>
        <v>550</v>
      </c>
      <c r="F184">
        <f>$G$4+'Data - DA'!D195</f>
        <v>604</v>
      </c>
      <c r="G184">
        <f t="shared" si="37"/>
        <v>605</v>
      </c>
      <c r="H184" t="str">
        <f>'Data - DA'!G195</f>
        <v xml:space="preserve">Aerobar Bolts: Top 25mm; Bottom 15mm </v>
      </c>
    </row>
    <row r="185" spans="2:8" x14ac:dyDescent="0.25">
      <c r="B185" t="str">
        <f>TEXT($B$3,0) &amp;" ----- "&amp;'Data - DA'!B196</f>
        <v>Frame: 54 ----- Stem: 110x0  ----- Aluminium Aerobar + 20 + bridge + 5</v>
      </c>
      <c r="C185">
        <f t="shared" si="41"/>
        <v>500</v>
      </c>
      <c r="D185">
        <f t="shared" si="39"/>
        <v>470</v>
      </c>
      <c r="E185">
        <f t="shared" si="40"/>
        <v>550</v>
      </c>
      <c r="F185">
        <f>$G$4+'Data - DA'!D196</f>
        <v>604</v>
      </c>
      <c r="G185">
        <f t="shared" si="37"/>
        <v>605</v>
      </c>
      <c r="H185" t="str">
        <f>'Data - DA'!G196</f>
        <v xml:space="preserve">Aerobar Bolts: Top 25mm; Bottom 15mm </v>
      </c>
    </row>
    <row r="186" spans="2:8" x14ac:dyDescent="0.25">
      <c r="B186" t="str">
        <f>TEXT($B$3,0) &amp;" ----- "&amp;'Data - DA'!B197</f>
        <v>Frame: 54 ----- Stem: 110x0  ----- Aluminium Aerobar + 30 + bridge</v>
      </c>
      <c r="C186">
        <f t="shared" si="41"/>
        <v>500</v>
      </c>
      <c r="D186">
        <f t="shared" si="39"/>
        <v>470</v>
      </c>
      <c r="E186">
        <f t="shared" si="40"/>
        <v>550</v>
      </c>
      <c r="F186">
        <f>$G$4+'Data - DA'!D197</f>
        <v>609</v>
      </c>
      <c r="G186">
        <f t="shared" si="37"/>
        <v>610</v>
      </c>
      <c r="H186" t="str">
        <f>'Data - DA'!G197</f>
        <v xml:space="preserve">Aerobar Bolts: Top 30mm; Bottom 15mm </v>
      </c>
    </row>
    <row r="187" spans="2:8" x14ac:dyDescent="0.25">
      <c r="B187" t="str">
        <f>TEXT($B$3,0) &amp;" ----- "&amp;'Data - DA'!B198</f>
        <v>Frame: 54 ----- Stem: 110x0  ----- Aluminium Aerobar + 30 + bridge + 5</v>
      </c>
      <c r="C187">
        <f t="shared" si="41"/>
        <v>500</v>
      </c>
      <c r="D187">
        <f t="shared" si="39"/>
        <v>470</v>
      </c>
      <c r="E187">
        <f t="shared" si="40"/>
        <v>550</v>
      </c>
      <c r="F187">
        <f>$G$4+'Data - DA'!D198</f>
        <v>614</v>
      </c>
      <c r="G187">
        <f t="shared" si="37"/>
        <v>615</v>
      </c>
      <c r="H187" t="str">
        <f>'Data - DA'!G198</f>
        <v xml:space="preserve">Aerobar Bolts: Top 30mm; Bottom 15mm </v>
      </c>
    </row>
    <row r="188" spans="2:8" x14ac:dyDescent="0.25">
      <c r="B188" t="str">
        <f>TEXT($B$3,0) &amp;" ----- "&amp;'Data - DA'!B199</f>
        <v>Frame: 54 ----- Stem: 110x0  ----- Aluminium Aerobar + 40 + bridge</v>
      </c>
      <c r="C188">
        <f t="shared" si="41"/>
        <v>500</v>
      </c>
      <c r="D188">
        <f t="shared" si="39"/>
        <v>470</v>
      </c>
      <c r="E188">
        <f t="shared" si="40"/>
        <v>550</v>
      </c>
      <c r="F188">
        <f>$G$4+'Data - DA'!D199</f>
        <v>619</v>
      </c>
      <c r="G188">
        <f t="shared" si="37"/>
        <v>620</v>
      </c>
      <c r="H188" t="str">
        <f>'Data - DA'!G199</f>
        <v xml:space="preserve">Aerobar Bolts: Top 35mm; Bottom 15mm </v>
      </c>
    </row>
    <row r="189" spans="2:8" x14ac:dyDescent="0.25">
      <c r="B189" t="str">
        <f>TEXT($B$3,0) &amp;" ----- "&amp;'Data - DA'!B200</f>
        <v>Frame: 54 ----- Stem: 110x0  ----- Aluminium Aerobar + 40 + bridge + 5</v>
      </c>
      <c r="C189">
        <f t="shared" si="41"/>
        <v>500</v>
      </c>
      <c r="D189">
        <f t="shared" si="39"/>
        <v>470</v>
      </c>
      <c r="E189">
        <f t="shared" si="40"/>
        <v>550</v>
      </c>
      <c r="F189">
        <f>$G$4+'Data - DA'!D200</f>
        <v>624</v>
      </c>
      <c r="G189">
        <f t="shared" ref="G189:G191" si="42">ROUND(F189/5,0)*5</f>
        <v>625</v>
      </c>
      <c r="H189" t="str">
        <f>'Data - DA'!G200</f>
        <v xml:space="preserve">Aerobar Bolts: Top 35mm; Bottom 15mm </v>
      </c>
    </row>
    <row r="190" spans="2:8" x14ac:dyDescent="0.25">
      <c r="B190" t="str">
        <f>TEXT($B$3,0) &amp;" ----- "&amp;'Data - DA'!B201</f>
        <v>Frame: 54 ----- Stem: 110x0  ----- Aluminium Aerobar + 40 + bridge + 10</v>
      </c>
      <c r="C190">
        <f t="shared" si="41"/>
        <v>500</v>
      </c>
      <c r="D190">
        <f t="shared" si="39"/>
        <v>470</v>
      </c>
      <c r="E190">
        <f t="shared" si="40"/>
        <v>550</v>
      </c>
      <c r="F190">
        <f>$G$4+'Data - DA'!D201</f>
        <v>629</v>
      </c>
      <c r="G190">
        <f t="shared" si="42"/>
        <v>630</v>
      </c>
      <c r="H190" t="str">
        <f>'Data - DA'!G201</f>
        <v xml:space="preserve">Aerobar Bolts: Top 35mm; Bottom 15mm </v>
      </c>
    </row>
    <row r="191" spans="2:8" x14ac:dyDescent="0.25">
      <c r="B191" t="str">
        <f>TEXT($B$3,0) &amp;" ----- "&amp;'Data - DA'!B202</f>
        <v>Frame: 54 ----- Stem: 110x0  ----- Aluminium Aerobar + 40 + bridge + 10 + 5</v>
      </c>
      <c r="C191">
        <f t="shared" si="41"/>
        <v>500</v>
      </c>
      <c r="D191">
        <f t="shared" si="39"/>
        <v>470</v>
      </c>
      <c r="E191">
        <f t="shared" si="40"/>
        <v>550</v>
      </c>
      <c r="F191">
        <f>$G$4+'Data - DA'!D202</f>
        <v>634</v>
      </c>
      <c r="G191">
        <f t="shared" si="42"/>
        <v>635</v>
      </c>
      <c r="H191" t="str">
        <f>'Data - DA'!G202</f>
        <v xml:space="preserve">Aerobar Bolts: Top 35mm; Bottom 25mm </v>
      </c>
    </row>
  </sheetData>
  <pageMargins left="0.7" right="0.7" top="0.75" bottom="0.75" header="0.3" footer="0.3"/>
  <pageSetup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2:P191"/>
  <sheetViews>
    <sheetView zoomScale="70" zoomScaleNormal="70" workbookViewId="0">
      <selection activeCell="B1" sqref="B1:B1048576"/>
    </sheetView>
  </sheetViews>
  <sheetFormatPr defaultRowHeight="15" x14ac:dyDescent="0.25"/>
  <cols>
    <col min="2" max="2" width="60.5703125" customWidth="1"/>
    <col min="3" max="3" width="14.85546875" bestFit="1" customWidth="1"/>
    <col min="4" max="4" width="11.42578125" bestFit="1" customWidth="1"/>
    <col min="5" max="5" width="12" bestFit="1" customWidth="1"/>
    <col min="8" max="8" width="7.140625" customWidth="1"/>
    <col min="9" max="9" width="9.140625" customWidth="1"/>
    <col min="10" max="10" width="14.7109375" customWidth="1"/>
    <col min="13" max="13" width="17.42578125" customWidth="1"/>
    <col min="14" max="14" width="12.5703125" customWidth="1"/>
  </cols>
  <sheetData>
    <row r="2" spans="2:16" x14ac:dyDescent="0.25">
      <c r="B2" t="s">
        <v>12</v>
      </c>
    </row>
    <row r="3" spans="2:16" x14ac:dyDescent="0.25">
      <c r="B3" t="s">
        <v>100</v>
      </c>
      <c r="F3" t="s">
        <v>2</v>
      </c>
      <c r="G3" t="s">
        <v>1</v>
      </c>
    </row>
    <row r="4" spans="2:16" x14ac:dyDescent="0.25">
      <c r="F4">
        <f>'Data - DA'!C5</f>
        <v>399</v>
      </c>
      <c r="G4">
        <f>'Data - DA'!D5</f>
        <v>488</v>
      </c>
    </row>
    <row r="6" spans="2:16" x14ac:dyDescent="0.25">
      <c r="J6" s="1" t="s">
        <v>2</v>
      </c>
      <c r="K6" t="str">
        <f>'Data - DA'!T7</f>
        <v>70x30</v>
      </c>
      <c r="L6" t="str">
        <f>'Data - DA'!U7</f>
        <v>70x60</v>
      </c>
      <c r="M6" t="str">
        <f>'Data - DA'!V7</f>
        <v>100x30</v>
      </c>
      <c r="N6" t="str">
        <f>'Data - DA'!W7</f>
        <v>100x60</v>
      </c>
      <c r="O6" t="str">
        <f>'Data - DA'!X7</f>
        <v>90x0</v>
      </c>
      <c r="P6" t="str">
        <f>'Data - DA'!Y7</f>
        <v>110x0</v>
      </c>
    </row>
    <row r="7" spans="2:16" x14ac:dyDescent="0.25">
      <c r="F7" t="s">
        <v>1</v>
      </c>
      <c r="J7" t="s">
        <v>70</v>
      </c>
      <c r="K7">
        <f>'Data - DA'!T9</f>
        <v>436</v>
      </c>
      <c r="L7">
        <f>'Data - DA'!U9</f>
        <v>426</v>
      </c>
      <c r="M7">
        <f>'Data - DA'!V9</f>
        <v>466</v>
      </c>
      <c r="N7">
        <f>'Data - DA'!W9</f>
        <v>457</v>
      </c>
      <c r="O7">
        <f>'Data - DA'!X9</f>
        <v>461</v>
      </c>
      <c r="P7">
        <f>'Data - DA'!Y9</f>
        <v>481</v>
      </c>
    </row>
    <row r="8" spans="2:16" x14ac:dyDescent="0.25">
      <c r="J8" t="s">
        <v>76</v>
      </c>
      <c r="K8">
        <f>'Data - DA'!T15</f>
        <v>435</v>
      </c>
      <c r="L8">
        <f>'Data - DA'!U15</f>
        <v>425</v>
      </c>
      <c r="M8">
        <f>'Data - DA'!V15</f>
        <v>465</v>
      </c>
      <c r="N8">
        <f>'Data - DA'!W15</f>
        <v>455</v>
      </c>
      <c r="O8">
        <f>'Data - DA'!X15</f>
        <v>460</v>
      </c>
      <c r="P8">
        <f>'Data - DA'!Y15</f>
        <v>480</v>
      </c>
    </row>
    <row r="9" spans="2:16" x14ac:dyDescent="0.25">
      <c r="J9" t="s">
        <v>21</v>
      </c>
      <c r="K9">
        <f>'Data - DA'!T21</f>
        <v>405</v>
      </c>
      <c r="L9">
        <f>'Data - DA'!U21</f>
        <v>395</v>
      </c>
      <c r="M9">
        <f>'Data - DA'!V21</f>
        <v>435</v>
      </c>
      <c r="N9">
        <f>'Data - DA'!W21</f>
        <v>425</v>
      </c>
      <c r="O9">
        <f>'Data - DA'!X21</f>
        <v>430</v>
      </c>
      <c r="P9">
        <f>'Data - DA'!Y21</f>
        <v>450</v>
      </c>
    </row>
    <row r="10" spans="2:16" x14ac:dyDescent="0.25">
      <c r="J10" t="s">
        <v>22</v>
      </c>
      <c r="K10">
        <f>'Data - DA'!T27</f>
        <v>485</v>
      </c>
      <c r="L10">
        <f>'Data - DA'!U27</f>
        <v>475</v>
      </c>
      <c r="M10">
        <f>'Data - DA'!V27</f>
        <v>515</v>
      </c>
      <c r="N10">
        <f>'Data - DA'!W27</f>
        <v>505</v>
      </c>
      <c r="O10">
        <f>'Data - DA'!X27</f>
        <v>510</v>
      </c>
      <c r="P10">
        <f>'Data - DA'!Y27</f>
        <v>530</v>
      </c>
    </row>
    <row r="11" spans="2:16" x14ac:dyDescent="0.25">
      <c r="C11" t="s">
        <v>82</v>
      </c>
      <c r="D11" t="s">
        <v>15</v>
      </c>
      <c r="E11" t="s">
        <v>16</v>
      </c>
    </row>
    <row r="12" spans="2:16" x14ac:dyDescent="0.25">
      <c r="B12" t="str">
        <f>TEXT($B$3,0) &amp;" ----- "&amp;'Data - DA'!B23</f>
        <v>Frame: 51 ----- Stem: 70x30  ----- Carbon Aerobar</v>
      </c>
      <c r="C12">
        <f>$K$8</f>
        <v>435</v>
      </c>
      <c r="D12">
        <f t="shared" ref="D12:D26" si="0">$K$9</f>
        <v>405</v>
      </c>
      <c r="E12">
        <f t="shared" ref="E12:E26" si="1">$K$10</f>
        <v>485</v>
      </c>
      <c r="G12">
        <f t="shared" ref="G12:G56" si="2">ROUND(F12/5,0)*5</f>
        <v>0</v>
      </c>
      <c r="H12" t="str">
        <f>'Data - DA'!G23</f>
        <v xml:space="preserve">Aerobar Bolts: Top N/A; Bottom N/A </v>
      </c>
    </row>
    <row r="13" spans="2:16" x14ac:dyDescent="0.25">
      <c r="B13" t="str">
        <f>TEXT($B$3,0) &amp;" ----- "&amp;'Data - DA'!B24</f>
        <v>Frame: 51 ----- Stem: 70x30  ----- Carbon Aerobar + 5</v>
      </c>
      <c r="C13">
        <f t="shared" ref="C13:C26" si="3">$K$8</f>
        <v>435</v>
      </c>
      <c r="D13">
        <f t="shared" si="0"/>
        <v>405</v>
      </c>
      <c r="E13">
        <f t="shared" si="1"/>
        <v>485</v>
      </c>
      <c r="F13">
        <f>$G$4+'Data - DA'!D24</f>
        <v>586</v>
      </c>
      <c r="G13">
        <f t="shared" si="2"/>
        <v>585</v>
      </c>
      <c r="H13" t="str">
        <f>'Data - DA'!G24</f>
        <v xml:space="preserve">Aerobar Bolts: Top 45mm; Bottom N/A </v>
      </c>
    </row>
    <row r="14" spans="2:16" x14ac:dyDescent="0.25">
      <c r="B14" t="str">
        <f>TEXT($B$3,0) &amp;" ----- "&amp;'Data - DA'!B25</f>
        <v>Frame: 51 ----- Stem: 70x30  ----- Carbon Aerobar + 10</v>
      </c>
      <c r="C14">
        <f t="shared" si="3"/>
        <v>435</v>
      </c>
      <c r="D14">
        <f t="shared" si="0"/>
        <v>405</v>
      </c>
      <c r="E14">
        <f t="shared" si="1"/>
        <v>485</v>
      </c>
      <c r="F14">
        <f>$G$4+'Data - DA'!D25</f>
        <v>591</v>
      </c>
      <c r="G14">
        <f t="shared" si="2"/>
        <v>590</v>
      </c>
      <c r="H14" t="str">
        <f>'Data - DA'!G25</f>
        <v xml:space="preserve">Aerobar Bolts: Top 50mm; Bottom N/A </v>
      </c>
    </row>
    <row r="15" spans="2:16" x14ac:dyDescent="0.25">
      <c r="B15" t="str">
        <f>TEXT($B$3,0) &amp;" ----- "&amp;'Data - DA'!B26</f>
        <v>Frame: 51 ----- Stem: 70x30  ----- Carbon Aerobar + 5 + 10</v>
      </c>
      <c r="C15">
        <f t="shared" si="3"/>
        <v>435</v>
      </c>
      <c r="D15">
        <f t="shared" si="0"/>
        <v>405</v>
      </c>
      <c r="E15">
        <f t="shared" si="1"/>
        <v>485</v>
      </c>
      <c r="F15">
        <f>$G$4+'Data - DA'!D26</f>
        <v>596</v>
      </c>
      <c r="G15">
        <f t="shared" si="2"/>
        <v>595</v>
      </c>
      <c r="H15" t="str">
        <f>'Data - DA'!G26</f>
        <v xml:space="preserve">Aerobar Bolts: Top 55mm; Bottom N/A </v>
      </c>
    </row>
    <row r="16" spans="2:16" x14ac:dyDescent="0.25">
      <c r="B16" t="str">
        <f>TEXT($B$3,0) &amp;" ----- "&amp;'Data - DA'!B27</f>
        <v>Frame: 51 ----- Stem: 70x30  ----- Carbon Aerobar + 20</v>
      </c>
      <c r="C16">
        <f>$K$8</f>
        <v>435</v>
      </c>
      <c r="D16">
        <f t="shared" si="0"/>
        <v>405</v>
      </c>
      <c r="E16">
        <f t="shared" si="1"/>
        <v>485</v>
      </c>
      <c r="F16">
        <f>$G$4+'Data - DA'!D27</f>
        <v>601</v>
      </c>
      <c r="G16">
        <f t="shared" si="2"/>
        <v>600</v>
      </c>
      <c r="H16" t="str">
        <f>'Data - DA'!G27</f>
        <v xml:space="preserve">Aerobar Bolts: Top 20mm; Bottom 30mm </v>
      </c>
    </row>
    <row r="17" spans="2:8" x14ac:dyDescent="0.25">
      <c r="B17" t="str">
        <f>TEXT($B$3,0) &amp;" ----- "&amp;'Data - DA'!B28</f>
        <v>Frame: 51 ----- Stem: 70x30  ----- Carbon Aerobar + 20 + 5</v>
      </c>
      <c r="C17">
        <f t="shared" si="3"/>
        <v>435</v>
      </c>
      <c r="D17">
        <f t="shared" si="0"/>
        <v>405</v>
      </c>
      <c r="E17">
        <f t="shared" si="1"/>
        <v>485</v>
      </c>
      <c r="F17">
        <f>$G$4+'Data - DA'!D28</f>
        <v>606</v>
      </c>
      <c r="G17">
        <f t="shared" si="2"/>
        <v>605</v>
      </c>
      <c r="H17" t="str">
        <f>'Data - DA'!G28</f>
        <v xml:space="preserve">Aerobar Bolts: Top 25mm; Bottom 30mm </v>
      </c>
    </row>
    <row r="18" spans="2:8" x14ac:dyDescent="0.25">
      <c r="B18" t="str">
        <f>TEXT($B$3,0) &amp;" ----- "&amp;'Data - DA'!B29</f>
        <v>Frame: 51 ----- Stem: 70x30  ----- Carbon Aerobar + 20 + bridge</v>
      </c>
      <c r="C18">
        <f>$K$8</f>
        <v>435</v>
      </c>
      <c r="D18">
        <f t="shared" si="0"/>
        <v>405</v>
      </c>
      <c r="E18">
        <f t="shared" si="1"/>
        <v>485</v>
      </c>
      <c r="F18">
        <f>$G$4+'Data - DA'!D29</f>
        <v>606</v>
      </c>
      <c r="G18">
        <f t="shared" si="2"/>
        <v>605</v>
      </c>
      <c r="H18" t="str">
        <f>'Data - DA'!G29</f>
        <v xml:space="preserve">Aerobar Bolts: Top 25mm; Bottom 30mm </v>
      </c>
    </row>
    <row r="19" spans="2:8" x14ac:dyDescent="0.25">
      <c r="B19" t="str">
        <f>TEXT($B$3,0) &amp;" ----- "&amp;'Data - DA'!B30</f>
        <v>Frame: 51 ----- Stem: 70x30  ----- Carbon Aerobar + 30</v>
      </c>
      <c r="C19">
        <f t="shared" si="3"/>
        <v>435</v>
      </c>
      <c r="D19">
        <f t="shared" si="0"/>
        <v>405</v>
      </c>
      <c r="E19">
        <f t="shared" si="1"/>
        <v>485</v>
      </c>
      <c r="F19">
        <f>$G$4+'Data - DA'!D30</f>
        <v>611</v>
      </c>
      <c r="G19">
        <f t="shared" si="2"/>
        <v>610</v>
      </c>
      <c r="H19" t="str">
        <f>'Data - DA'!G30</f>
        <v xml:space="preserve">Aerobar Bolts: Top 25mm; Bottom 30mm </v>
      </c>
    </row>
    <row r="20" spans="2:8" x14ac:dyDescent="0.25">
      <c r="B20" t="str">
        <f>TEXT($B$3,0) &amp;" ----- "&amp;'Data - DA'!B31</f>
        <v>Frame: 51 ----- Stem: 70x30  ----- Carbon Aerobar + 20 + bridge + 5</v>
      </c>
      <c r="C20">
        <f t="shared" si="3"/>
        <v>435</v>
      </c>
      <c r="D20">
        <f t="shared" si="0"/>
        <v>405</v>
      </c>
      <c r="E20">
        <f t="shared" si="1"/>
        <v>485</v>
      </c>
      <c r="F20">
        <f>$G$4+'Data - DA'!D31</f>
        <v>611</v>
      </c>
      <c r="G20">
        <f t="shared" si="2"/>
        <v>610</v>
      </c>
      <c r="H20" t="str">
        <f>'Data - DA'!G31</f>
        <v xml:space="preserve">Aerobar Bolts: Top 30mm; Bottom 30mm </v>
      </c>
    </row>
    <row r="21" spans="2:8" x14ac:dyDescent="0.25">
      <c r="B21" t="str">
        <f>TEXT($B$3,0) &amp;" ----- "&amp;'Data - DA'!B32</f>
        <v>Frame: 51 ----- Stem: 70x30  ----- Carbon Aerobar + 30 + bridge</v>
      </c>
      <c r="C21">
        <f t="shared" si="3"/>
        <v>435</v>
      </c>
      <c r="D21">
        <f t="shared" si="0"/>
        <v>405</v>
      </c>
      <c r="E21">
        <f t="shared" si="1"/>
        <v>485</v>
      </c>
      <c r="F21">
        <f>$G$4+'Data - DA'!D32</f>
        <v>616</v>
      </c>
      <c r="G21">
        <f t="shared" si="2"/>
        <v>615</v>
      </c>
      <c r="H21" t="str">
        <f>'Data - DA'!G32</f>
        <v xml:space="preserve">Aerobar Bolts: Top 30mm; Bottom 30mm </v>
      </c>
    </row>
    <row r="22" spans="2:8" x14ac:dyDescent="0.25">
      <c r="B22" t="str">
        <f>TEXT($B$3,0) &amp;" ----- "&amp;'Data - DA'!B33</f>
        <v>Frame: 51 ----- Stem: 70x30  ----- Carbon Aerobar + 30 + bridge + 5</v>
      </c>
      <c r="C22">
        <f t="shared" si="3"/>
        <v>435</v>
      </c>
      <c r="D22">
        <f t="shared" si="0"/>
        <v>405</v>
      </c>
      <c r="E22">
        <f t="shared" si="1"/>
        <v>485</v>
      </c>
      <c r="F22">
        <f>$G$4+'Data - DA'!D33</f>
        <v>621</v>
      </c>
      <c r="G22">
        <f t="shared" si="2"/>
        <v>620</v>
      </c>
      <c r="H22" t="str">
        <f>'Data - DA'!G33</f>
        <v xml:space="preserve">Aerobar Bolts: Top 35mm; Bottom 30mm </v>
      </c>
    </row>
    <row r="23" spans="2:8" x14ac:dyDescent="0.25">
      <c r="B23" t="str">
        <f>TEXT($B$3,0) &amp;" ----- "&amp;'Data - DA'!B34</f>
        <v>Frame: 51 ----- Stem: 70x30  ----- Carbon Aerobar + 40 + bridge</v>
      </c>
      <c r="C23">
        <f t="shared" si="3"/>
        <v>435</v>
      </c>
      <c r="D23">
        <f t="shared" si="0"/>
        <v>405</v>
      </c>
      <c r="E23">
        <f t="shared" si="1"/>
        <v>485</v>
      </c>
      <c r="F23">
        <f>$G$4+'Data - DA'!D34</f>
        <v>626</v>
      </c>
      <c r="G23">
        <f t="shared" si="2"/>
        <v>625</v>
      </c>
      <c r="H23" t="str">
        <f>'Data - DA'!G34</f>
        <v xml:space="preserve">Aerobar Bolts: Top 35mm; Bottom 30mm </v>
      </c>
    </row>
    <row r="24" spans="2:8" x14ac:dyDescent="0.25">
      <c r="B24" t="str">
        <f>TEXT($B$3,0) &amp;" ----- "&amp;'Data - DA'!B35</f>
        <v>Frame: 51 ----- Stem: 70x30  ----- Carbon Aerobar + 40 + bridge + 5</v>
      </c>
      <c r="C24">
        <f t="shared" si="3"/>
        <v>435</v>
      </c>
      <c r="D24">
        <f t="shared" si="0"/>
        <v>405</v>
      </c>
      <c r="E24">
        <f t="shared" si="1"/>
        <v>485</v>
      </c>
      <c r="F24">
        <f>$G$4+'Data - DA'!D35</f>
        <v>631</v>
      </c>
      <c r="G24">
        <f t="shared" si="2"/>
        <v>630</v>
      </c>
      <c r="H24" t="str">
        <f>'Data - DA'!G35</f>
        <v xml:space="preserve">Aerobar Bolts: Top 35mm; Bottom 30mm </v>
      </c>
    </row>
    <row r="25" spans="2:8" x14ac:dyDescent="0.25">
      <c r="B25" t="str">
        <f>TEXT($B$3,0) &amp;" ----- "&amp;'Data - DA'!B36</f>
        <v>Frame: 51 ----- Stem: 70x30  ----- Carbon Aerobar + 40 + bridge + 10</v>
      </c>
      <c r="C25">
        <f t="shared" si="3"/>
        <v>435</v>
      </c>
      <c r="D25">
        <f t="shared" si="0"/>
        <v>405</v>
      </c>
      <c r="E25">
        <f t="shared" si="1"/>
        <v>485</v>
      </c>
      <c r="F25">
        <f>$G$4+'Data - DA'!D36</f>
        <v>636</v>
      </c>
      <c r="G25">
        <f t="shared" si="2"/>
        <v>635</v>
      </c>
      <c r="H25" t="str">
        <f>'Data - DA'!G36</f>
        <v xml:space="preserve">Aerobar Bolts: Top 40mm; Bottom 30mm </v>
      </c>
    </row>
    <row r="26" spans="2:8" x14ac:dyDescent="0.25">
      <c r="B26" t="str">
        <f>TEXT($B$3,0) &amp;" ----- "&amp;'Data - DA'!B37</f>
        <v>Frame: 51 ----- Stem: 70x30  ----- Carbon Aerobar + 40 + bridge + 10 + 5</v>
      </c>
      <c r="C26">
        <f t="shared" si="3"/>
        <v>435</v>
      </c>
      <c r="D26">
        <f t="shared" si="0"/>
        <v>405</v>
      </c>
      <c r="E26">
        <f t="shared" si="1"/>
        <v>485</v>
      </c>
      <c r="F26">
        <f>$G$4+'Data - DA'!D37</f>
        <v>641</v>
      </c>
      <c r="G26">
        <f t="shared" si="2"/>
        <v>640</v>
      </c>
      <c r="H26" t="str">
        <f>'Data - DA'!G37</f>
        <v xml:space="preserve">Aerobar Bolts: Top 45mm; Bottom 30mm </v>
      </c>
    </row>
    <row r="27" spans="2:8" x14ac:dyDescent="0.25">
      <c r="B27" t="str">
        <f>TEXT($B$3,0) &amp;" ----- "&amp;'Data - DA'!B38</f>
        <v>Frame: 51 ----- Stem: 70x60  ----- Carbon Aerobar</v>
      </c>
      <c r="C27">
        <f>$L$8</f>
        <v>425</v>
      </c>
      <c r="D27">
        <f t="shared" ref="D27:D41" si="4">$L$9</f>
        <v>395</v>
      </c>
      <c r="E27">
        <f t="shared" ref="E27:E41" si="5">$L$10</f>
        <v>475</v>
      </c>
      <c r="G27">
        <f t="shared" si="2"/>
        <v>0</v>
      </c>
      <c r="H27" t="str">
        <f>'Data - DA'!G38</f>
        <v xml:space="preserve">Aerobar Bolts: Top N/A; Bottom N/A </v>
      </c>
    </row>
    <row r="28" spans="2:8" x14ac:dyDescent="0.25">
      <c r="B28" t="str">
        <f>TEXT($B$3,0) &amp;" ----- "&amp;'Data - DA'!B39</f>
        <v>Frame: 51 ----- Stem: 70x60  ----- Carbon Aerobar + 5</v>
      </c>
      <c r="C28">
        <f t="shared" ref="C28:C41" si="6">$L$8</f>
        <v>425</v>
      </c>
      <c r="D28">
        <f t="shared" si="4"/>
        <v>395</v>
      </c>
      <c r="E28">
        <f t="shared" si="5"/>
        <v>475</v>
      </c>
      <c r="F28">
        <f>$G$4+'Data - DA'!D39</f>
        <v>617</v>
      </c>
      <c r="G28">
        <f t="shared" si="2"/>
        <v>615</v>
      </c>
      <c r="H28" t="str">
        <f>'Data - DA'!G39</f>
        <v xml:space="preserve">Aerobar Bolts: Top 45mm; Bottom N/A </v>
      </c>
    </row>
    <row r="29" spans="2:8" x14ac:dyDescent="0.25">
      <c r="B29" t="str">
        <f>TEXT($B$3,0) &amp;" ----- "&amp;'Data - DA'!B40</f>
        <v>Frame: 51 ----- Stem: 70x60  ----- Carbon Aerobar + 10</v>
      </c>
      <c r="C29">
        <f t="shared" si="6"/>
        <v>425</v>
      </c>
      <c r="D29">
        <f t="shared" si="4"/>
        <v>395</v>
      </c>
      <c r="E29">
        <f t="shared" si="5"/>
        <v>475</v>
      </c>
      <c r="F29">
        <f>$G$4+'Data - DA'!D40</f>
        <v>622</v>
      </c>
      <c r="G29">
        <f t="shared" si="2"/>
        <v>620</v>
      </c>
      <c r="H29" t="str">
        <f>'Data - DA'!G40</f>
        <v xml:space="preserve">Aerobar Bolts: Top 50mm; Bottom N/A </v>
      </c>
    </row>
    <row r="30" spans="2:8" x14ac:dyDescent="0.25">
      <c r="B30" t="str">
        <f>TEXT($B$3,0) &amp;" ----- "&amp;'Data - DA'!B41</f>
        <v>Frame: 51 ----- Stem: 70x60  ----- Carbon Aerobar + 5 + 10</v>
      </c>
      <c r="C30">
        <f t="shared" si="6"/>
        <v>425</v>
      </c>
      <c r="D30">
        <f t="shared" si="4"/>
        <v>395</v>
      </c>
      <c r="E30">
        <f t="shared" si="5"/>
        <v>475</v>
      </c>
      <c r="F30">
        <f>$G$4+'Data - DA'!D41</f>
        <v>627</v>
      </c>
      <c r="G30">
        <f t="shared" si="2"/>
        <v>625</v>
      </c>
      <c r="H30" t="str">
        <f>'Data - DA'!G41</f>
        <v xml:space="preserve">Aerobar Bolts: Top 55mm; Bottom N/A </v>
      </c>
    </row>
    <row r="31" spans="2:8" x14ac:dyDescent="0.25">
      <c r="B31" t="str">
        <f>TEXT($B$3,0) &amp;" ----- "&amp;'Data - DA'!B42</f>
        <v>Frame: 51 ----- Stem: 70x60  ----- Carbon Aerobar + 20</v>
      </c>
      <c r="C31">
        <f t="shared" si="6"/>
        <v>425</v>
      </c>
      <c r="D31">
        <f t="shared" si="4"/>
        <v>395</v>
      </c>
      <c r="E31">
        <f t="shared" si="5"/>
        <v>475</v>
      </c>
      <c r="F31">
        <f>$G$4+'Data - DA'!D42</f>
        <v>632</v>
      </c>
      <c r="G31">
        <f t="shared" si="2"/>
        <v>630</v>
      </c>
      <c r="H31" t="str">
        <f>'Data - DA'!G42</f>
        <v xml:space="preserve">Aerobar Bolts: Top 20mm; Bottom 30mm </v>
      </c>
    </row>
    <row r="32" spans="2:8" x14ac:dyDescent="0.25">
      <c r="B32" t="str">
        <f>TEXT($B$3,0) &amp;" ----- "&amp;'Data - DA'!B43</f>
        <v>Frame: 51 ----- Stem: 70x60  ----- Carbon Aerobar + 20 + 5</v>
      </c>
      <c r="C32">
        <f t="shared" si="6"/>
        <v>425</v>
      </c>
      <c r="D32">
        <f t="shared" si="4"/>
        <v>395</v>
      </c>
      <c r="E32">
        <f t="shared" si="5"/>
        <v>475</v>
      </c>
      <c r="F32">
        <f>$G$4+'Data - DA'!D43</f>
        <v>637</v>
      </c>
      <c r="G32">
        <f t="shared" si="2"/>
        <v>635</v>
      </c>
      <c r="H32" t="str">
        <f>'Data - DA'!G43</f>
        <v xml:space="preserve">Aerobar Bolts: Top 25mm; Bottom 30mm </v>
      </c>
    </row>
    <row r="33" spans="2:8" x14ac:dyDescent="0.25">
      <c r="B33" t="str">
        <f>TEXT($B$3,0) &amp;" ----- "&amp;'Data - DA'!B44</f>
        <v>Frame: 51 ----- Stem: 70x60  ----- Carbon Aerobar + 20 + bridge</v>
      </c>
      <c r="C33">
        <f t="shared" si="6"/>
        <v>425</v>
      </c>
      <c r="D33">
        <f t="shared" si="4"/>
        <v>395</v>
      </c>
      <c r="E33">
        <f t="shared" si="5"/>
        <v>475</v>
      </c>
      <c r="F33">
        <f>$G$4+'Data - DA'!D44</f>
        <v>637</v>
      </c>
      <c r="G33">
        <f t="shared" si="2"/>
        <v>635</v>
      </c>
      <c r="H33" t="str">
        <f>'Data - DA'!G44</f>
        <v xml:space="preserve">Aerobar Bolts: Top 25mm; Bottom 30mm </v>
      </c>
    </row>
    <row r="34" spans="2:8" x14ac:dyDescent="0.25">
      <c r="B34" t="str">
        <f>TEXT($B$3,0) &amp;" ----- "&amp;'Data - DA'!B45</f>
        <v>Frame: 51 ----- Stem: 70x60  ----- Carbon Aerobar + 30</v>
      </c>
      <c r="C34">
        <f t="shared" si="6"/>
        <v>425</v>
      </c>
      <c r="D34">
        <f t="shared" si="4"/>
        <v>395</v>
      </c>
      <c r="E34">
        <f t="shared" si="5"/>
        <v>475</v>
      </c>
      <c r="F34">
        <f>$G$4+'Data - DA'!D45</f>
        <v>642</v>
      </c>
      <c r="G34">
        <f t="shared" si="2"/>
        <v>640</v>
      </c>
      <c r="H34" t="str">
        <f>'Data - DA'!G45</f>
        <v xml:space="preserve">Aerobar Bolts: Top 25mm; Bottom 30mm </v>
      </c>
    </row>
    <row r="35" spans="2:8" x14ac:dyDescent="0.25">
      <c r="B35" t="str">
        <f>TEXT($B$3,0) &amp;" ----- "&amp;'Data - DA'!B46</f>
        <v>Frame: 51 ----- Stem: 70x60  ----- Carbon Aerobar + 20 + bridge + 5</v>
      </c>
      <c r="C35">
        <f t="shared" si="6"/>
        <v>425</v>
      </c>
      <c r="D35">
        <f t="shared" si="4"/>
        <v>395</v>
      </c>
      <c r="E35">
        <f t="shared" si="5"/>
        <v>475</v>
      </c>
      <c r="F35">
        <f>$G$4+'Data - DA'!D46</f>
        <v>642</v>
      </c>
      <c r="G35">
        <f t="shared" si="2"/>
        <v>640</v>
      </c>
      <c r="H35" t="str">
        <f>'Data - DA'!G46</f>
        <v xml:space="preserve">Aerobar Bolts: Top 30mm; Bottom 30mm </v>
      </c>
    </row>
    <row r="36" spans="2:8" x14ac:dyDescent="0.25">
      <c r="B36" t="str">
        <f>TEXT($B$3,0) &amp;" ----- "&amp;'Data - DA'!B47</f>
        <v>Frame: 51 ----- Stem: 70x60  ----- Carbon Aerobar + 30 + bridge</v>
      </c>
      <c r="C36">
        <f t="shared" si="6"/>
        <v>425</v>
      </c>
      <c r="D36">
        <f t="shared" si="4"/>
        <v>395</v>
      </c>
      <c r="E36">
        <f t="shared" si="5"/>
        <v>475</v>
      </c>
      <c r="F36">
        <f>$G$4+'Data - DA'!D47</f>
        <v>647</v>
      </c>
      <c r="G36">
        <f t="shared" si="2"/>
        <v>645</v>
      </c>
      <c r="H36" t="str">
        <f>'Data - DA'!G47</f>
        <v xml:space="preserve">Aerobar Bolts: Top 30mm; Bottom 30mm </v>
      </c>
    </row>
    <row r="37" spans="2:8" x14ac:dyDescent="0.25">
      <c r="B37" t="str">
        <f>TEXT($B$3,0) &amp;" ----- "&amp;'Data - DA'!B48</f>
        <v>Frame: 51 ----- Stem: 70x60  ----- Carbon Aerobar + 30 + bridge + 5</v>
      </c>
      <c r="C37">
        <f t="shared" si="6"/>
        <v>425</v>
      </c>
      <c r="D37">
        <f t="shared" si="4"/>
        <v>395</v>
      </c>
      <c r="E37">
        <f t="shared" si="5"/>
        <v>475</v>
      </c>
      <c r="F37">
        <f>$G$4+'Data - DA'!D48</f>
        <v>652</v>
      </c>
      <c r="G37">
        <f t="shared" si="2"/>
        <v>650</v>
      </c>
      <c r="H37" t="str">
        <f>'Data - DA'!G48</f>
        <v xml:space="preserve">Aerobar Bolts: Top 35mm; Bottom 30mm </v>
      </c>
    </row>
    <row r="38" spans="2:8" x14ac:dyDescent="0.25">
      <c r="B38" t="str">
        <f>TEXT($B$3,0) &amp;" ----- "&amp;'Data - DA'!B49</f>
        <v>Frame: 51 ----- Stem: 70x60  ----- Carbon Aerobar + 40 + bridge</v>
      </c>
      <c r="C38">
        <f t="shared" si="6"/>
        <v>425</v>
      </c>
      <c r="D38">
        <f t="shared" si="4"/>
        <v>395</v>
      </c>
      <c r="E38">
        <f t="shared" si="5"/>
        <v>475</v>
      </c>
      <c r="F38">
        <f>$G$4+'Data - DA'!D49</f>
        <v>657</v>
      </c>
      <c r="G38">
        <f t="shared" si="2"/>
        <v>655</v>
      </c>
      <c r="H38" t="str">
        <f>'Data - DA'!G49</f>
        <v xml:space="preserve">Aerobar Bolts: Top 35mm; Bottom 30mm </v>
      </c>
    </row>
    <row r="39" spans="2:8" x14ac:dyDescent="0.25">
      <c r="B39" t="str">
        <f>TEXT($B$3,0) &amp;" ----- "&amp;'Data - DA'!B50</f>
        <v>Frame: 51 ----- Stem: 70x60  ----- Carbon Aerobar + 40 + bridge + 5</v>
      </c>
      <c r="C39">
        <f t="shared" si="6"/>
        <v>425</v>
      </c>
      <c r="D39">
        <f t="shared" si="4"/>
        <v>395</v>
      </c>
      <c r="E39">
        <f t="shared" si="5"/>
        <v>475</v>
      </c>
      <c r="F39">
        <f>$G$4+'Data - DA'!D50</f>
        <v>662</v>
      </c>
      <c r="G39">
        <f t="shared" si="2"/>
        <v>660</v>
      </c>
      <c r="H39" t="str">
        <f>'Data - DA'!G50</f>
        <v xml:space="preserve">Aerobar Bolts: Top 35mm; Bottom 30mm </v>
      </c>
    </row>
    <row r="40" spans="2:8" x14ac:dyDescent="0.25">
      <c r="B40" t="str">
        <f>TEXT($B$3,0) &amp;" ----- "&amp;'Data - DA'!B51</f>
        <v>Frame: 51 ----- Stem: 70x60  ----- Carbon Aerobar + 40 + bridge + 10</v>
      </c>
      <c r="C40">
        <f t="shared" si="6"/>
        <v>425</v>
      </c>
      <c r="D40">
        <f t="shared" si="4"/>
        <v>395</v>
      </c>
      <c r="E40">
        <f t="shared" si="5"/>
        <v>475</v>
      </c>
      <c r="F40">
        <f>$G$4+'Data - DA'!D51</f>
        <v>667</v>
      </c>
      <c r="G40">
        <f t="shared" si="2"/>
        <v>665</v>
      </c>
      <c r="H40" t="str">
        <f>'Data - DA'!G51</f>
        <v xml:space="preserve">Aerobar Bolts: Top 40mm; Bottom 30mm </v>
      </c>
    </row>
    <row r="41" spans="2:8" x14ac:dyDescent="0.25">
      <c r="B41" t="str">
        <f>TEXT($B$3,0) &amp;" ----- "&amp;'Data - DA'!B52</f>
        <v>Frame: 51 ----- Stem: 70x60  ----- Carbon Aerobar + 40 + bridge + 10 + 5</v>
      </c>
      <c r="C41">
        <f t="shared" si="6"/>
        <v>425</v>
      </c>
      <c r="D41">
        <f t="shared" si="4"/>
        <v>395</v>
      </c>
      <c r="E41">
        <f t="shared" si="5"/>
        <v>475</v>
      </c>
      <c r="F41">
        <f>$G$4+'Data - DA'!D52</f>
        <v>672</v>
      </c>
      <c r="G41">
        <f t="shared" si="2"/>
        <v>670</v>
      </c>
      <c r="H41" t="str">
        <f>'Data - DA'!G52</f>
        <v xml:space="preserve">Aerobar Bolts: Top 45mm; Bottom 30mm </v>
      </c>
    </row>
    <row r="42" spans="2:8" x14ac:dyDescent="0.25">
      <c r="B42" t="str">
        <f>TEXT($B$3,0) &amp;" ----- "&amp;'Data - DA'!B53</f>
        <v>Frame: 51 ----- Stem: 100x30  ----- Carbon Aerobar</v>
      </c>
      <c r="C42">
        <f>$M$8</f>
        <v>465</v>
      </c>
      <c r="D42">
        <f t="shared" ref="D42:D56" si="7">$M$9</f>
        <v>435</v>
      </c>
      <c r="E42">
        <f t="shared" ref="E42:E56" si="8">$M$10</f>
        <v>515</v>
      </c>
      <c r="G42">
        <f t="shared" si="2"/>
        <v>0</v>
      </c>
      <c r="H42" t="str">
        <f>'Data - DA'!G53</f>
        <v xml:space="preserve">Aerobar Bolts: Top N/A; Bottom N/A </v>
      </c>
    </row>
    <row r="43" spans="2:8" x14ac:dyDescent="0.25">
      <c r="B43" t="str">
        <f>TEXT($B$3,0) &amp;" ----- "&amp;'Data - DA'!B54</f>
        <v>Frame: 51 ----- Stem: 100x30  ----- Carbon Aerobar + 5</v>
      </c>
      <c r="C43">
        <f t="shared" ref="C43:C56" si="9">$M$8</f>
        <v>465</v>
      </c>
      <c r="D43">
        <f t="shared" si="7"/>
        <v>435</v>
      </c>
      <c r="E43">
        <f t="shared" si="8"/>
        <v>515</v>
      </c>
      <c r="F43">
        <f>$G$4+'Data - DA'!D54</f>
        <v>587</v>
      </c>
      <c r="G43">
        <f t="shared" si="2"/>
        <v>585</v>
      </c>
      <c r="H43" t="str">
        <f>'Data - DA'!G54</f>
        <v xml:space="preserve">Aerobar Bolts: Top 45mm; Bottom N/A </v>
      </c>
    </row>
    <row r="44" spans="2:8" x14ac:dyDescent="0.25">
      <c r="B44" t="str">
        <f>TEXT($B$3,0) &amp;" ----- "&amp;'Data - DA'!B55</f>
        <v>Frame: 51 ----- Stem: 100x30  ----- Carbon Aerobar + 10</v>
      </c>
      <c r="C44">
        <f t="shared" si="9"/>
        <v>465</v>
      </c>
      <c r="D44">
        <f t="shared" si="7"/>
        <v>435</v>
      </c>
      <c r="E44">
        <f t="shared" si="8"/>
        <v>515</v>
      </c>
      <c r="F44">
        <f>$G$4+'Data - DA'!D55</f>
        <v>592</v>
      </c>
      <c r="G44">
        <f t="shared" si="2"/>
        <v>590</v>
      </c>
      <c r="H44" t="str">
        <f>'Data - DA'!G55</f>
        <v xml:space="preserve">Aerobar Bolts: Top 50mm; Bottom N/A </v>
      </c>
    </row>
    <row r="45" spans="2:8" x14ac:dyDescent="0.25">
      <c r="B45" t="str">
        <f>TEXT($B$3,0) &amp;" ----- "&amp;'Data - DA'!B56</f>
        <v>Frame: 51 ----- Stem: 100x30  ----- Carbon Aerobar + 5 + 10</v>
      </c>
      <c r="C45">
        <f t="shared" si="9"/>
        <v>465</v>
      </c>
      <c r="D45">
        <f t="shared" si="7"/>
        <v>435</v>
      </c>
      <c r="E45">
        <f t="shared" si="8"/>
        <v>515</v>
      </c>
      <c r="F45">
        <f>$G$4+'Data - DA'!D56</f>
        <v>597</v>
      </c>
      <c r="G45">
        <f t="shared" si="2"/>
        <v>595</v>
      </c>
      <c r="H45" t="str">
        <f>'Data - DA'!G56</f>
        <v xml:space="preserve">Aerobar Bolts: Top 55mm; Bottom N/A </v>
      </c>
    </row>
    <row r="46" spans="2:8" x14ac:dyDescent="0.25">
      <c r="B46" t="str">
        <f>TEXT($B$3,0) &amp;" ----- "&amp;'Data - DA'!B57</f>
        <v>Frame: 51 ----- Stem: 100x30  ----- Carbon Aerobar + 20</v>
      </c>
      <c r="C46">
        <f t="shared" si="9"/>
        <v>465</v>
      </c>
      <c r="D46">
        <f t="shared" si="7"/>
        <v>435</v>
      </c>
      <c r="E46">
        <f t="shared" si="8"/>
        <v>515</v>
      </c>
      <c r="F46">
        <f>$G$4+'Data - DA'!D57</f>
        <v>602</v>
      </c>
      <c r="G46">
        <f t="shared" si="2"/>
        <v>600</v>
      </c>
      <c r="H46" t="str">
        <f>'Data - DA'!G57</f>
        <v xml:space="preserve">Aerobar Bolts: Top 20mm; Bottom 30mm </v>
      </c>
    </row>
    <row r="47" spans="2:8" x14ac:dyDescent="0.25">
      <c r="B47" t="str">
        <f>TEXT($B$3,0) &amp;" ----- "&amp;'Data - DA'!B58</f>
        <v>Frame: 51 ----- Stem: 100x30  ----- Carbon Aerobar + 20 + 5</v>
      </c>
      <c r="C47">
        <f t="shared" si="9"/>
        <v>465</v>
      </c>
      <c r="D47">
        <f t="shared" si="7"/>
        <v>435</v>
      </c>
      <c r="E47">
        <f t="shared" si="8"/>
        <v>515</v>
      </c>
      <c r="F47">
        <f>$G$4+'Data - DA'!D58</f>
        <v>607</v>
      </c>
      <c r="G47">
        <f t="shared" si="2"/>
        <v>605</v>
      </c>
      <c r="H47" t="str">
        <f>'Data - DA'!G58</f>
        <v xml:space="preserve">Aerobar Bolts: Top 25mm; Bottom 30mm </v>
      </c>
    </row>
    <row r="48" spans="2:8" x14ac:dyDescent="0.25">
      <c r="B48" t="str">
        <f>TEXT($B$3,0) &amp;" ----- "&amp;'Data - DA'!B59</f>
        <v>Frame: 51 ----- Stem: 100x30  ----- Carbon Aerobar + 20 + bridge</v>
      </c>
      <c r="C48">
        <f t="shared" si="9"/>
        <v>465</v>
      </c>
      <c r="D48">
        <f t="shared" si="7"/>
        <v>435</v>
      </c>
      <c r="E48">
        <f t="shared" si="8"/>
        <v>515</v>
      </c>
      <c r="F48">
        <f>$G$4+'Data - DA'!D59</f>
        <v>607</v>
      </c>
      <c r="G48">
        <f t="shared" si="2"/>
        <v>605</v>
      </c>
      <c r="H48" t="str">
        <f>'Data - DA'!G59</f>
        <v xml:space="preserve">Aerobar Bolts: Top 25mm; Bottom 30mm </v>
      </c>
    </row>
    <row r="49" spans="2:8" x14ac:dyDescent="0.25">
      <c r="B49" t="str">
        <f>TEXT($B$3,0) &amp;" ----- "&amp;'Data - DA'!B60</f>
        <v>Frame: 51 ----- Stem: 100x30  ----- Carbon Aerobar + 30</v>
      </c>
      <c r="C49">
        <f t="shared" si="9"/>
        <v>465</v>
      </c>
      <c r="D49">
        <f t="shared" si="7"/>
        <v>435</v>
      </c>
      <c r="E49">
        <f t="shared" si="8"/>
        <v>515</v>
      </c>
      <c r="F49">
        <f>$G$4+'Data - DA'!D60</f>
        <v>612</v>
      </c>
      <c r="G49">
        <f t="shared" si="2"/>
        <v>610</v>
      </c>
      <c r="H49" t="str">
        <f>'Data - DA'!G60</f>
        <v xml:space="preserve">Aerobar Bolts: Top 25mm; Bottom 30mm </v>
      </c>
    </row>
    <row r="50" spans="2:8" x14ac:dyDescent="0.25">
      <c r="B50" t="str">
        <f>TEXT($B$3,0) &amp;" ----- "&amp;'Data - DA'!B61</f>
        <v>Frame: 51 ----- Stem: 100x30  ----- Carbon Aerobar + 20 + bridge + 5</v>
      </c>
      <c r="C50">
        <f t="shared" si="9"/>
        <v>465</v>
      </c>
      <c r="D50">
        <f t="shared" si="7"/>
        <v>435</v>
      </c>
      <c r="E50">
        <f t="shared" si="8"/>
        <v>515</v>
      </c>
      <c r="F50">
        <f>$G$4+'Data - DA'!D61</f>
        <v>612</v>
      </c>
      <c r="G50">
        <f t="shared" si="2"/>
        <v>610</v>
      </c>
      <c r="H50" t="str">
        <f>'Data - DA'!G61</f>
        <v xml:space="preserve">Aerobar Bolts: Top 30mm; Bottom 30mm </v>
      </c>
    </row>
    <row r="51" spans="2:8" x14ac:dyDescent="0.25">
      <c r="B51" t="str">
        <f>TEXT($B$3,0) &amp;" ----- "&amp;'Data - DA'!B62</f>
        <v>Frame: 51 ----- Stem: 100x30  ----- Carbon Aerobar + 30 + bridge</v>
      </c>
      <c r="C51">
        <f t="shared" si="9"/>
        <v>465</v>
      </c>
      <c r="D51">
        <f t="shared" si="7"/>
        <v>435</v>
      </c>
      <c r="E51">
        <f t="shared" si="8"/>
        <v>515</v>
      </c>
      <c r="F51">
        <f>$G$4+'Data - DA'!D62</f>
        <v>617</v>
      </c>
      <c r="G51">
        <f t="shared" si="2"/>
        <v>615</v>
      </c>
      <c r="H51" t="str">
        <f>'Data - DA'!G62</f>
        <v xml:space="preserve">Aerobar Bolts: Top 30mm; Bottom 30mm </v>
      </c>
    </row>
    <row r="52" spans="2:8" x14ac:dyDescent="0.25">
      <c r="B52" t="str">
        <f>TEXT($B$3,0) &amp;" ----- "&amp;'Data - DA'!B63</f>
        <v>Frame: 51 ----- Stem: 100x30  ----- Carbon Aerobar + 30 + bridge + 5</v>
      </c>
      <c r="C52">
        <f t="shared" si="9"/>
        <v>465</v>
      </c>
      <c r="D52">
        <f t="shared" si="7"/>
        <v>435</v>
      </c>
      <c r="E52">
        <f t="shared" si="8"/>
        <v>515</v>
      </c>
      <c r="F52">
        <f>$G$4+'Data - DA'!D63</f>
        <v>622</v>
      </c>
      <c r="G52">
        <f t="shared" si="2"/>
        <v>620</v>
      </c>
      <c r="H52" t="str">
        <f>'Data - DA'!G63</f>
        <v xml:space="preserve">Aerobar Bolts: Top 35mm; Bottom 30mm </v>
      </c>
    </row>
    <row r="53" spans="2:8" x14ac:dyDescent="0.25">
      <c r="B53" t="str">
        <f>TEXT($B$3,0) &amp;" ----- "&amp;'Data - DA'!B64</f>
        <v>Frame: 51 ----- Stem: 100x30  ----- Carbon Aerobar + 40 + bridge</v>
      </c>
      <c r="C53">
        <f t="shared" si="9"/>
        <v>465</v>
      </c>
      <c r="D53">
        <f t="shared" si="7"/>
        <v>435</v>
      </c>
      <c r="E53">
        <f t="shared" si="8"/>
        <v>515</v>
      </c>
      <c r="F53">
        <f>$G$4+'Data - DA'!D64</f>
        <v>627</v>
      </c>
      <c r="G53">
        <f t="shared" si="2"/>
        <v>625</v>
      </c>
      <c r="H53" t="str">
        <f>'Data - DA'!G64</f>
        <v xml:space="preserve">Aerobar Bolts: Top 35mm; Bottom 30mm </v>
      </c>
    </row>
    <row r="54" spans="2:8" x14ac:dyDescent="0.25">
      <c r="B54" t="str">
        <f>TEXT($B$3,0) &amp;" ----- "&amp;'Data - DA'!B65</f>
        <v>Frame: 51 ----- Stem: 100x30  ----- Carbon Aerobar + 40 + bridge + 5</v>
      </c>
      <c r="C54">
        <f t="shared" si="9"/>
        <v>465</v>
      </c>
      <c r="D54">
        <f t="shared" si="7"/>
        <v>435</v>
      </c>
      <c r="E54">
        <f t="shared" si="8"/>
        <v>515</v>
      </c>
      <c r="F54">
        <f>$G$4+'Data - DA'!D65</f>
        <v>632</v>
      </c>
      <c r="G54">
        <f t="shared" si="2"/>
        <v>630</v>
      </c>
      <c r="H54" t="str">
        <f>'Data - DA'!G65</f>
        <v xml:space="preserve">Aerobar Bolts: Top 35mm; Bottom 30mm </v>
      </c>
    </row>
    <row r="55" spans="2:8" x14ac:dyDescent="0.25">
      <c r="B55" t="str">
        <f>TEXT($B$3,0) &amp;" ----- "&amp;'Data - DA'!B66</f>
        <v>Frame: 51 ----- Stem: 100x30  ----- Carbon Aerobar + 40 + bridge + 10</v>
      </c>
      <c r="C55">
        <f t="shared" si="9"/>
        <v>465</v>
      </c>
      <c r="D55">
        <f t="shared" si="7"/>
        <v>435</v>
      </c>
      <c r="E55">
        <f t="shared" si="8"/>
        <v>515</v>
      </c>
      <c r="F55">
        <f>$G$4+'Data - DA'!D66</f>
        <v>637</v>
      </c>
      <c r="G55">
        <f t="shared" si="2"/>
        <v>635</v>
      </c>
      <c r="H55" t="str">
        <f>'Data - DA'!G66</f>
        <v xml:space="preserve">Aerobar Bolts: Top 40mm; Bottom 30mm </v>
      </c>
    </row>
    <row r="56" spans="2:8" x14ac:dyDescent="0.25">
      <c r="B56" t="str">
        <f>TEXT($B$3,0) &amp;" ----- "&amp;'Data - DA'!B67</f>
        <v>Frame: 51 ----- Stem: 100x30  ----- Carbon Aerobar + 40 + bridge + 10 + 5</v>
      </c>
      <c r="C56">
        <f t="shared" si="9"/>
        <v>465</v>
      </c>
      <c r="D56">
        <f t="shared" si="7"/>
        <v>435</v>
      </c>
      <c r="E56">
        <f t="shared" si="8"/>
        <v>515</v>
      </c>
      <c r="F56">
        <f>$G$4+'Data - DA'!D67</f>
        <v>642</v>
      </c>
      <c r="G56">
        <f t="shared" si="2"/>
        <v>640</v>
      </c>
      <c r="H56" t="str">
        <f>'Data - DA'!G67</f>
        <v xml:space="preserve">Aerobar Bolts: Top 45mm; Bottom 30mm </v>
      </c>
    </row>
    <row r="57" spans="2:8" x14ac:dyDescent="0.25">
      <c r="B57" t="str">
        <f>TEXT($B$3,0) &amp;" ----- "&amp;'Data - DA'!B68</f>
        <v>Frame: 51 ----- Stem: 100x60  ----- Carbon Aerobar</v>
      </c>
      <c r="C57">
        <f>$N$8</f>
        <v>455</v>
      </c>
      <c r="D57">
        <f t="shared" ref="D57:D71" si="10">$N$9</f>
        <v>425</v>
      </c>
      <c r="E57">
        <f t="shared" ref="E57:E71" si="11">$N$10</f>
        <v>505</v>
      </c>
      <c r="H57" t="str">
        <f>'Data - DA'!G68</f>
        <v xml:space="preserve">Aerobar Bolts: Top N/A; Bottom N/A </v>
      </c>
    </row>
    <row r="58" spans="2:8" x14ac:dyDescent="0.25">
      <c r="B58" t="str">
        <f>TEXT($B$3,0) &amp;" ----- "&amp;'Data - DA'!B69</f>
        <v>Frame: 51 ----- Stem: 100x60  ----- Carbon Aerobar + 5</v>
      </c>
      <c r="C58">
        <f t="shared" ref="C58:C71" si="12">$N$8</f>
        <v>455</v>
      </c>
      <c r="D58">
        <f t="shared" si="10"/>
        <v>425</v>
      </c>
      <c r="E58">
        <f t="shared" si="11"/>
        <v>505</v>
      </c>
      <c r="F58">
        <f>$G$4+'Data - DA'!D69</f>
        <v>617</v>
      </c>
      <c r="G58">
        <f t="shared" ref="G58:G151" si="13">ROUND(F58/5,0)*5</f>
        <v>615</v>
      </c>
      <c r="H58" t="str">
        <f>'Data - DA'!G69</f>
        <v xml:space="preserve">Aerobar Bolts: Top 45mm; Bottom N/A </v>
      </c>
    </row>
    <row r="59" spans="2:8" x14ac:dyDescent="0.25">
      <c r="B59" t="str">
        <f>TEXT($B$3,0) &amp;" ----- "&amp;'Data - DA'!B70</f>
        <v>Frame: 51 ----- Stem: 100x60  ----- Carbon Aerobar + 10</v>
      </c>
      <c r="C59">
        <f t="shared" si="12"/>
        <v>455</v>
      </c>
      <c r="D59">
        <f t="shared" si="10"/>
        <v>425</v>
      </c>
      <c r="E59">
        <f t="shared" si="11"/>
        <v>505</v>
      </c>
      <c r="F59">
        <f>$G$4+'Data - DA'!D70</f>
        <v>622</v>
      </c>
      <c r="G59">
        <f t="shared" si="13"/>
        <v>620</v>
      </c>
      <c r="H59" t="str">
        <f>'Data - DA'!G70</f>
        <v xml:space="preserve">Aerobar Bolts: Top 50mm; Bottom N/A </v>
      </c>
    </row>
    <row r="60" spans="2:8" x14ac:dyDescent="0.25">
      <c r="B60" t="str">
        <f>TEXT($B$3,0) &amp;" ----- "&amp;'Data - DA'!B71</f>
        <v>Frame: 51 ----- Stem: 100x60  ----- Carbon Aerobar + 5 + 10</v>
      </c>
      <c r="C60">
        <f t="shared" si="12"/>
        <v>455</v>
      </c>
      <c r="D60">
        <f t="shared" si="10"/>
        <v>425</v>
      </c>
      <c r="E60">
        <f t="shared" si="11"/>
        <v>505</v>
      </c>
      <c r="F60">
        <f>$G$4+'Data - DA'!D71</f>
        <v>627</v>
      </c>
      <c r="G60">
        <f t="shared" si="13"/>
        <v>625</v>
      </c>
      <c r="H60" t="str">
        <f>'Data - DA'!G71</f>
        <v xml:space="preserve">Aerobar Bolts: Top 55mm; Bottom N/A </v>
      </c>
    </row>
    <row r="61" spans="2:8" x14ac:dyDescent="0.25">
      <c r="B61" t="str">
        <f>TEXT($B$3,0) &amp;" ----- "&amp;'Data - DA'!B72</f>
        <v>Frame: 51 ----- Stem: 100x60  ----- Carbon Aerobar + 20</v>
      </c>
      <c r="C61">
        <f t="shared" si="12"/>
        <v>455</v>
      </c>
      <c r="D61">
        <f t="shared" si="10"/>
        <v>425</v>
      </c>
      <c r="E61">
        <f t="shared" si="11"/>
        <v>505</v>
      </c>
      <c r="F61">
        <f>$G$4+'Data - DA'!D72</f>
        <v>632</v>
      </c>
      <c r="G61">
        <f t="shared" si="13"/>
        <v>630</v>
      </c>
      <c r="H61" t="str">
        <f>'Data - DA'!G72</f>
        <v xml:space="preserve">Aerobar Bolts: Top 20mm; Bottom 30mm </v>
      </c>
    </row>
    <row r="62" spans="2:8" x14ac:dyDescent="0.25">
      <c r="B62" t="str">
        <f>TEXT($B$3,0) &amp;" ----- "&amp;'Data - DA'!B73</f>
        <v>Frame: 51 ----- Stem: 100x60  ----- Carbon Aerobar + 20 + 5</v>
      </c>
      <c r="C62">
        <f t="shared" si="12"/>
        <v>455</v>
      </c>
      <c r="D62">
        <f t="shared" si="10"/>
        <v>425</v>
      </c>
      <c r="E62">
        <f t="shared" si="11"/>
        <v>505</v>
      </c>
      <c r="F62">
        <f>$G$4+'Data - DA'!D73</f>
        <v>637</v>
      </c>
      <c r="G62">
        <f t="shared" si="13"/>
        <v>635</v>
      </c>
      <c r="H62" t="str">
        <f>'Data - DA'!G73</f>
        <v xml:space="preserve">Aerobar Bolts: Top 25mm; Bottom 30mm </v>
      </c>
    </row>
    <row r="63" spans="2:8" x14ac:dyDescent="0.25">
      <c r="B63" t="str">
        <f>TEXT($B$3,0) &amp;" ----- "&amp;'Data - DA'!B74</f>
        <v>Frame: 51 ----- Stem: 100x60  ----- Carbon Aerobar + 20 + bridge</v>
      </c>
      <c r="C63">
        <f t="shared" si="12"/>
        <v>455</v>
      </c>
      <c r="D63">
        <f t="shared" si="10"/>
        <v>425</v>
      </c>
      <c r="E63">
        <f t="shared" si="11"/>
        <v>505</v>
      </c>
      <c r="F63">
        <f>$G$4+'Data - DA'!D74</f>
        <v>637</v>
      </c>
      <c r="G63">
        <f t="shared" si="13"/>
        <v>635</v>
      </c>
      <c r="H63" t="str">
        <f>'Data - DA'!G74</f>
        <v xml:space="preserve">Aerobar Bolts: Top 25mm; Bottom 30mm </v>
      </c>
    </row>
    <row r="64" spans="2:8" x14ac:dyDescent="0.25">
      <c r="B64" t="str">
        <f>TEXT($B$3,0) &amp;" ----- "&amp;'Data - DA'!B75</f>
        <v>Frame: 51 ----- Stem: 100x60  ----- Carbon Aerobar + 30</v>
      </c>
      <c r="C64">
        <f t="shared" si="12"/>
        <v>455</v>
      </c>
      <c r="D64">
        <f t="shared" si="10"/>
        <v>425</v>
      </c>
      <c r="E64">
        <f t="shared" si="11"/>
        <v>505</v>
      </c>
      <c r="F64">
        <f>$G$4+'Data - DA'!D75</f>
        <v>642</v>
      </c>
      <c r="G64">
        <f t="shared" si="13"/>
        <v>640</v>
      </c>
      <c r="H64" t="str">
        <f>'Data - DA'!G75</f>
        <v xml:space="preserve">Aerobar Bolts: Top 25mm; Bottom 30mm </v>
      </c>
    </row>
    <row r="65" spans="2:8" x14ac:dyDescent="0.25">
      <c r="B65" t="str">
        <f>TEXT($B$3,0) &amp;" ----- "&amp;'Data - DA'!B76</f>
        <v>Frame: 51 ----- Stem: 100x60  ----- Carbon Aerobar + 20 + bridge + 5</v>
      </c>
      <c r="C65">
        <f t="shared" si="12"/>
        <v>455</v>
      </c>
      <c r="D65">
        <f t="shared" si="10"/>
        <v>425</v>
      </c>
      <c r="E65">
        <f t="shared" si="11"/>
        <v>505</v>
      </c>
      <c r="F65">
        <f>$G$4+'Data - DA'!D76</f>
        <v>642</v>
      </c>
      <c r="G65">
        <f t="shared" si="13"/>
        <v>640</v>
      </c>
      <c r="H65" t="str">
        <f>'Data - DA'!G76</f>
        <v xml:space="preserve">Aerobar Bolts: Top 30mm; Bottom 30mm </v>
      </c>
    </row>
    <row r="66" spans="2:8" x14ac:dyDescent="0.25">
      <c r="B66" t="str">
        <f>TEXT($B$3,0) &amp;" ----- "&amp;'Data - DA'!B77</f>
        <v>Frame: 51 ----- Stem: 100x60  ----- Carbon Aerobar + 30 + bridge</v>
      </c>
      <c r="C66">
        <f t="shared" si="12"/>
        <v>455</v>
      </c>
      <c r="D66">
        <f t="shared" si="10"/>
        <v>425</v>
      </c>
      <c r="E66">
        <f t="shared" si="11"/>
        <v>505</v>
      </c>
      <c r="F66">
        <f>$G$4+'Data - DA'!D77</f>
        <v>647</v>
      </c>
      <c r="G66">
        <f t="shared" si="13"/>
        <v>645</v>
      </c>
      <c r="H66" t="str">
        <f>'Data - DA'!G77</f>
        <v xml:space="preserve">Aerobar Bolts: Top 30mm; Bottom 30mm </v>
      </c>
    </row>
    <row r="67" spans="2:8" x14ac:dyDescent="0.25">
      <c r="B67" t="str">
        <f>TEXT($B$3,0) &amp;" ----- "&amp;'Data - DA'!B78</f>
        <v>Frame: 51 ----- Stem: 100x60  ----- Carbon Aerobar + 30 + bridge + 5</v>
      </c>
      <c r="C67">
        <f t="shared" si="12"/>
        <v>455</v>
      </c>
      <c r="D67">
        <f t="shared" si="10"/>
        <v>425</v>
      </c>
      <c r="E67">
        <f t="shared" si="11"/>
        <v>505</v>
      </c>
      <c r="F67">
        <f>$G$4+'Data - DA'!D78</f>
        <v>652</v>
      </c>
      <c r="G67">
        <f t="shared" si="13"/>
        <v>650</v>
      </c>
      <c r="H67" t="str">
        <f>'Data - DA'!G78</f>
        <v xml:space="preserve">Aerobar Bolts: Top 35mm; Bottom 30mm </v>
      </c>
    </row>
    <row r="68" spans="2:8" x14ac:dyDescent="0.25">
      <c r="B68" t="str">
        <f>TEXT($B$3,0) &amp;" ----- "&amp;'Data - DA'!B79</f>
        <v>Frame: 51 ----- Stem: 100x60  ----- Carbon Aerobar + 40 + bridge</v>
      </c>
      <c r="C68">
        <f t="shared" si="12"/>
        <v>455</v>
      </c>
      <c r="D68">
        <f t="shared" si="10"/>
        <v>425</v>
      </c>
      <c r="E68">
        <f t="shared" si="11"/>
        <v>505</v>
      </c>
      <c r="F68">
        <f>$G$4+'Data - DA'!D79</f>
        <v>657</v>
      </c>
      <c r="G68">
        <f t="shared" si="13"/>
        <v>655</v>
      </c>
      <c r="H68" t="str">
        <f>'Data - DA'!G79</f>
        <v xml:space="preserve">Aerobar Bolts: Top 35mm; Bottom 30mm </v>
      </c>
    </row>
    <row r="69" spans="2:8" x14ac:dyDescent="0.25">
      <c r="B69" t="str">
        <f>TEXT($B$3,0) &amp;" ----- "&amp;'Data - DA'!B80</f>
        <v>Frame: 51 ----- Stem: 100x60  ----- Carbon Aerobar + 40 + bridge + 5</v>
      </c>
      <c r="C69">
        <f t="shared" si="12"/>
        <v>455</v>
      </c>
      <c r="D69">
        <f t="shared" si="10"/>
        <v>425</v>
      </c>
      <c r="E69">
        <f t="shared" si="11"/>
        <v>505</v>
      </c>
      <c r="F69">
        <f>$G$4+'Data - DA'!D80</f>
        <v>662</v>
      </c>
      <c r="G69">
        <f t="shared" si="13"/>
        <v>660</v>
      </c>
      <c r="H69" t="str">
        <f>'Data - DA'!G80</f>
        <v xml:space="preserve">Aerobar Bolts: Top 35mm; Bottom 30mm </v>
      </c>
    </row>
    <row r="70" spans="2:8" x14ac:dyDescent="0.25">
      <c r="B70" t="str">
        <f>TEXT($B$3,0) &amp;" ----- "&amp;'Data - DA'!B81</f>
        <v>Frame: 51 ----- Stem: 100x60  ----- Carbon Aerobar + 40 + bridge + 10</v>
      </c>
      <c r="C70">
        <f t="shared" si="12"/>
        <v>455</v>
      </c>
      <c r="D70">
        <f t="shared" si="10"/>
        <v>425</v>
      </c>
      <c r="E70">
        <f t="shared" si="11"/>
        <v>505</v>
      </c>
      <c r="F70">
        <f>$G$4+'Data - DA'!D81</f>
        <v>667</v>
      </c>
      <c r="G70">
        <f t="shared" si="13"/>
        <v>665</v>
      </c>
      <c r="H70" t="str">
        <f>'Data - DA'!G81</f>
        <v xml:space="preserve">Aerobar Bolts: Top 40mm; Bottom 30mm </v>
      </c>
    </row>
    <row r="71" spans="2:8" x14ac:dyDescent="0.25">
      <c r="B71" t="str">
        <f>TEXT($B$3,0) &amp;" ----- "&amp;'Data - DA'!B82</f>
        <v>Frame: 51 ----- Stem: 100x60  ----- Carbon Aerobar + 40 + bridge + 10 + 5</v>
      </c>
      <c r="C71">
        <f t="shared" si="12"/>
        <v>455</v>
      </c>
      <c r="D71">
        <f t="shared" si="10"/>
        <v>425</v>
      </c>
      <c r="E71">
        <f t="shared" si="11"/>
        <v>505</v>
      </c>
      <c r="F71">
        <f>$G$4+'Data - DA'!D82</f>
        <v>672</v>
      </c>
      <c r="G71">
        <f t="shared" si="13"/>
        <v>670</v>
      </c>
      <c r="H71" t="str">
        <f>'Data - DA'!G82</f>
        <v xml:space="preserve">Aerobar Bolts: Top 45mm; Bottom 30mm </v>
      </c>
    </row>
    <row r="72" spans="2:8" x14ac:dyDescent="0.25">
      <c r="B72" t="str">
        <f>TEXT($B$3,0) &amp;" ----- "&amp;'Data - DA'!B83</f>
        <v>Frame: 51 ----- Stem: 90x0  ----- Carbon Aerobar</v>
      </c>
      <c r="C72">
        <f>$O$8</f>
        <v>460</v>
      </c>
      <c r="D72">
        <f t="shared" ref="D72:D86" si="14">$O$9</f>
        <v>430</v>
      </c>
      <c r="E72">
        <f t="shared" ref="E72:E86" si="15">$O$10</f>
        <v>510</v>
      </c>
      <c r="G72">
        <f t="shared" ref="G72:G101" si="16">ROUND(F72/5,0)*5</f>
        <v>0</v>
      </c>
      <c r="H72" t="str">
        <f>'Data - DA'!G83</f>
        <v xml:space="preserve">Aerobar Bolts: Top N/A; Bottom N/A </v>
      </c>
    </row>
    <row r="73" spans="2:8" x14ac:dyDescent="0.25">
      <c r="B73" t="str">
        <f>TEXT($B$3,0) &amp;" ----- "&amp;'Data - DA'!B84</f>
        <v>Frame: 51 ----- Stem: 90x0  ----- Carbon Aerobar + 5</v>
      </c>
      <c r="C73">
        <f t="shared" ref="C73:C86" si="17">$O$8</f>
        <v>460</v>
      </c>
      <c r="D73">
        <f t="shared" si="14"/>
        <v>430</v>
      </c>
      <c r="E73">
        <f t="shared" si="15"/>
        <v>510</v>
      </c>
      <c r="F73">
        <f>$G$4+'Data - DA'!D84</f>
        <v>555</v>
      </c>
      <c r="G73">
        <f t="shared" si="16"/>
        <v>555</v>
      </c>
      <c r="H73" t="str">
        <f>'Data - DA'!G84</f>
        <v xml:space="preserve">Aerobar Bolts: Top 45mm; Bottom N/A </v>
      </c>
    </row>
    <row r="74" spans="2:8" x14ac:dyDescent="0.25">
      <c r="B74" t="str">
        <f>TEXT($B$3,0) &amp;" ----- "&amp;'Data - DA'!B85</f>
        <v>Frame: 51 ----- Stem: 90x0  ----- Carbon Aerobar + 10</v>
      </c>
      <c r="C74">
        <f t="shared" si="17"/>
        <v>460</v>
      </c>
      <c r="D74">
        <f t="shared" si="14"/>
        <v>430</v>
      </c>
      <c r="E74">
        <f t="shared" si="15"/>
        <v>510</v>
      </c>
      <c r="F74">
        <f>$G$4+'Data - DA'!D85</f>
        <v>560</v>
      </c>
      <c r="G74">
        <f t="shared" si="16"/>
        <v>560</v>
      </c>
      <c r="H74" t="str">
        <f>'Data - DA'!G85</f>
        <v xml:space="preserve">Aerobar Bolts: Top 50mm; Bottom N/A </v>
      </c>
    </row>
    <row r="75" spans="2:8" x14ac:dyDescent="0.25">
      <c r="B75" t="str">
        <f>TEXT($B$3,0) &amp;" ----- "&amp;'Data - DA'!B86</f>
        <v>Frame: 51 ----- Stem: 90x0  ----- Carbon Aerobar + 5 + 10</v>
      </c>
      <c r="C75">
        <f t="shared" si="17"/>
        <v>460</v>
      </c>
      <c r="D75">
        <f t="shared" si="14"/>
        <v>430</v>
      </c>
      <c r="E75">
        <f t="shared" si="15"/>
        <v>510</v>
      </c>
      <c r="F75">
        <f>$G$4+'Data - DA'!D86</f>
        <v>565</v>
      </c>
      <c r="G75">
        <f t="shared" si="16"/>
        <v>565</v>
      </c>
      <c r="H75" t="str">
        <f>'Data - DA'!G86</f>
        <v xml:space="preserve">Aerobar Bolts: Top 55mm; Bottom N/A </v>
      </c>
    </row>
    <row r="76" spans="2:8" x14ac:dyDescent="0.25">
      <c r="B76" t="str">
        <f>TEXT($B$3,0) &amp;" ----- "&amp;'Data - DA'!B87</f>
        <v>Frame: 51 ----- Stem: 90x0  ----- Carbon Aerobar + 20</v>
      </c>
      <c r="C76">
        <f t="shared" si="17"/>
        <v>460</v>
      </c>
      <c r="D76">
        <f t="shared" si="14"/>
        <v>430</v>
      </c>
      <c r="E76">
        <f t="shared" si="15"/>
        <v>510</v>
      </c>
      <c r="F76">
        <f>$G$4+'Data - DA'!D87</f>
        <v>570</v>
      </c>
      <c r="G76">
        <f t="shared" si="16"/>
        <v>570</v>
      </c>
      <c r="H76" t="str">
        <f>'Data - DA'!G87</f>
        <v xml:space="preserve">Aerobar Bolts: Top 20mm; Bottom 30mm </v>
      </c>
    </row>
    <row r="77" spans="2:8" x14ac:dyDescent="0.25">
      <c r="B77" t="str">
        <f>TEXT($B$3,0) &amp;" ----- "&amp;'Data - DA'!B88</f>
        <v>Frame: 51 ----- Stem: 90x0  ----- Carbon Aerobar + 20 + 5</v>
      </c>
      <c r="C77">
        <f t="shared" si="17"/>
        <v>460</v>
      </c>
      <c r="D77">
        <f t="shared" si="14"/>
        <v>430</v>
      </c>
      <c r="E77">
        <f t="shared" si="15"/>
        <v>510</v>
      </c>
      <c r="F77">
        <f>$G$4+'Data - DA'!D88</f>
        <v>575</v>
      </c>
      <c r="G77">
        <f t="shared" si="16"/>
        <v>575</v>
      </c>
      <c r="H77" t="str">
        <f>'Data - DA'!G88</f>
        <v xml:space="preserve">Aerobar Bolts: Top 25mm; Bottom 30mm </v>
      </c>
    </row>
    <row r="78" spans="2:8" x14ac:dyDescent="0.25">
      <c r="B78" t="str">
        <f>TEXT($B$3,0) &amp;" ----- "&amp;'Data - DA'!B89</f>
        <v>Frame: 51 ----- Stem: 90x0  ----- Carbon Aerobar + 20 + bridge</v>
      </c>
      <c r="C78">
        <f t="shared" si="17"/>
        <v>460</v>
      </c>
      <c r="D78">
        <f t="shared" si="14"/>
        <v>430</v>
      </c>
      <c r="E78">
        <f t="shared" si="15"/>
        <v>510</v>
      </c>
      <c r="F78">
        <f>$G$4+'Data - DA'!D89</f>
        <v>575</v>
      </c>
      <c r="G78">
        <f t="shared" si="16"/>
        <v>575</v>
      </c>
      <c r="H78" t="str">
        <f>'Data - DA'!G89</f>
        <v xml:space="preserve">Aerobar Bolts: Top 25mm; Bottom 30mm </v>
      </c>
    </row>
    <row r="79" spans="2:8" x14ac:dyDescent="0.25">
      <c r="B79" t="str">
        <f>TEXT($B$3,0) &amp;" ----- "&amp;'Data - DA'!B90</f>
        <v>Frame: 51 ----- Stem: 90x0  ----- Carbon Aerobar + 30</v>
      </c>
      <c r="C79">
        <f t="shared" si="17"/>
        <v>460</v>
      </c>
      <c r="D79">
        <f t="shared" si="14"/>
        <v>430</v>
      </c>
      <c r="E79">
        <f t="shared" si="15"/>
        <v>510</v>
      </c>
      <c r="F79">
        <f>$G$4+'Data - DA'!D90</f>
        <v>580</v>
      </c>
      <c r="G79">
        <f t="shared" si="16"/>
        <v>580</v>
      </c>
      <c r="H79" t="str">
        <f>'Data - DA'!G90</f>
        <v xml:space="preserve">Aerobar Bolts: Top 25mm; Bottom 30mm </v>
      </c>
    </row>
    <row r="80" spans="2:8" x14ac:dyDescent="0.25">
      <c r="B80" t="str">
        <f>TEXT($B$3,0) &amp;" ----- "&amp;'Data - DA'!B91</f>
        <v>Frame: 51 ----- Stem: 90x0  ----- Carbon Aerobar + 20 + bridge + 5</v>
      </c>
      <c r="C80">
        <f t="shared" si="17"/>
        <v>460</v>
      </c>
      <c r="D80">
        <f t="shared" si="14"/>
        <v>430</v>
      </c>
      <c r="E80">
        <f t="shared" si="15"/>
        <v>510</v>
      </c>
      <c r="F80">
        <f>$G$4+'Data - DA'!D91</f>
        <v>580</v>
      </c>
      <c r="G80">
        <f t="shared" si="16"/>
        <v>580</v>
      </c>
      <c r="H80" t="str">
        <f>'Data - DA'!G91</f>
        <v xml:space="preserve">Aerobar Bolts: Top 30mm; Bottom 30mm </v>
      </c>
    </row>
    <row r="81" spans="2:8" x14ac:dyDescent="0.25">
      <c r="B81" t="str">
        <f>TEXT($B$3,0) &amp;" ----- "&amp;'Data - DA'!B92</f>
        <v>Frame: 51 ----- Stem: 90x0  ----- Carbon Aerobar + 30 + bridge</v>
      </c>
      <c r="C81">
        <f t="shared" si="17"/>
        <v>460</v>
      </c>
      <c r="D81">
        <f t="shared" si="14"/>
        <v>430</v>
      </c>
      <c r="E81">
        <f t="shared" si="15"/>
        <v>510</v>
      </c>
      <c r="F81">
        <f>$G$4+'Data - DA'!D92</f>
        <v>585</v>
      </c>
      <c r="G81">
        <f t="shared" si="16"/>
        <v>585</v>
      </c>
      <c r="H81" t="str">
        <f>'Data - DA'!G92</f>
        <v xml:space="preserve">Aerobar Bolts: Top 30mm; Bottom 30mm </v>
      </c>
    </row>
    <row r="82" spans="2:8" x14ac:dyDescent="0.25">
      <c r="B82" t="str">
        <f>TEXT($B$3,0) &amp;" ----- "&amp;'Data - DA'!B93</f>
        <v>Frame: 51 ----- Stem: 90x0  ----- Carbon Aerobar + 30 + bridge + 5</v>
      </c>
      <c r="C82">
        <f t="shared" si="17"/>
        <v>460</v>
      </c>
      <c r="D82">
        <f t="shared" si="14"/>
        <v>430</v>
      </c>
      <c r="E82">
        <f t="shared" si="15"/>
        <v>510</v>
      </c>
      <c r="F82">
        <f>$G$4+'Data - DA'!D93</f>
        <v>590</v>
      </c>
      <c r="G82">
        <f t="shared" si="16"/>
        <v>590</v>
      </c>
      <c r="H82" t="str">
        <f>'Data - DA'!G93</f>
        <v xml:space="preserve">Aerobar Bolts: Top 35mm; Bottom 30mm </v>
      </c>
    </row>
    <row r="83" spans="2:8" x14ac:dyDescent="0.25">
      <c r="B83" t="str">
        <f>TEXT($B$3,0) &amp;" ----- "&amp;'Data - DA'!B94</f>
        <v>Frame: 51 ----- Stem: 90x0  ----- Carbon Aerobar + 40 + bridge</v>
      </c>
      <c r="C83">
        <f t="shared" si="17"/>
        <v>460</v>
      </c>
      <c r="D83">
        <f t="shared" si="14"/>
        <v>430</v>
      </c>
      <c r="E83">
        <f t="shared" si="15"/>
        <v>510</v>
      </c>
      <c r="F83">
        <f>$G$4+'Data - DA'!D94</f>
        <v>595</v>
      </c>
      <c r="G83">
        <f t="shared" si="16"/>
        <v>595</v>
      </c>
      <c r="H83" t="str">
        <f>'Data - DA'!G94</f>
        <v xml:space="preserve">Aerobar Bolts: Top 35mm; Bottom 30mm </v>
      </c>
    </row>
    <row r="84" spans="2:8" x14ac:dyDescent="0.25">
      <c r="B84" t="str">
        <f>TEXT($B$3,0) &amp;" ----- "&amp;'Data - DA'!B95</f>
        <v>Frame: 51 ----- Stem: 90x0  ----- Carbon Aerobar + 40 + bridge + 5</v>
      </c>
      <c r="C84">
        <f t="shared" si="17"/>
        <v>460</v>
      </c>
      <c r="D84">
        <f t="shared" si="14"/>
        <v>430</v>
      </c>
      <c r="E84">
        <f t="shared" si="15"/>
        <v>510</v>
      </c>
      <c r="F84">
        <f>$G$4+'Data - DA'!D95</f>
        <v>600</v>
      </c>
      <c r="G84">
        <f t="shared" si="16"/>
        <v>600</v>
      </c>
      <c r="H84" t="str">
        <f>'Data - DA'!G95</f>
        <v xml:space="preserve">Aerobar Bolts: Top 35mm; Bottom 30mm </v>
      </c>
    </row>
    <row r="85" spans="2:8" x14ac:dyDescent="0.25">
      <c r="B85" t="str">
        <f>TEXT($B$3,0) &amp;" ----- "&amp;'Data - DA'!B96</f>
        <v>Frame: 51 ----- Stem: 90x0  ----- Carbon Aerobar + 40 + bridge + 10</v>
      </c>
      <c r="C85">
        <f t="shared" si="17"/>
        <v>460</v>
      </c>
      <c r="D85">
        <f t="shared" si="14"/>
        <v>430</v>
      </c>
      <c r="E85">
        <f t="shared" si="15"/>
        <v>510</v>
      </c>
      <c r="F85">
        <f>$G$4+'Data - DA'!D96</f>
        <v>605</v>
      </c>
      <c r="G85">
        <f t="shared" si="16"/>
        <v>605</v>
      </c>
      <c r="H85" t="str">
        <f>'Data - DA'!G96</f>
        <v xml:space="preserve">Aerobar Bolts: Top 40mm; Bottom 30mm </v>
      </c>
    </row>
    <row r="86" spans="2:8" x14ac:dyDescent="0.25">
      <c r="B86" t="str">
        <f>TEXT($B$3,0) &amp;" ----- "&amp;'Data - DA'!B97</f>
        <v>Frame: 51 ----- Stem: 90x0  ----- Carbon Aerobar + 40 + bridge + 10 + 5</v>
      </c>
      <c r="C86">
        <f t="shared" si="17"/>
        <v>460</v>
      </c>
      <c r="D86">
        <f t="shared" si="14"/>
        <v>430</v>
      </c>
      <c r="E86">
        <f t="shared" si="15"/>
        <v>510</v>
      </c>
      <c r="F86">
        <f>$G$4+'Data - DA'!D97</f>
        <v>610</v>
      </c>
      <c r="G86">
        <f t="shared" si="16"/>
        <v>610</v>
      </c>
      <c r="H86" t="str">
        <f>'Data - DA'!G97</f>
        <v xml:space="preserve">Aerobar Bolts: Top 45mm; Bottom 30mm </v>
      </c>
    </row>
    <row r="87" spans="2:8" x14ac:dyDescent="0.25">
      <c r="B87" t="str">
        <f>TEXT($B$3,0) &amp;" ----- "&amp;'Data - DA'!B98</f>
        <v>Frame: 51 ----- Stem: 110x0  ----- Carbon Aerobar</v>
      </c>
      <c r="C87">
        <f>$P$8</f>
        <v>480</v>
      </c>
      <c r="D87">
        <f t="shared" ref="D87:D101" si="18">$P$9</f>
        <v>450</v>
      </c>
      <c r="E87">
        <f t="shared" ref="E87:E101" si="19">$P$10</f>
        <v>530</v>
      </c>
      <c r="G87">
        <f t="shared" si="16"/>
        <v>0</v>
      </c>
      <c r="H87" t="str">
        <f>'Data - DA'!G98</f>
        <v xml:space="preserve">Aerobar Bolts: Top N/A; Bottom N/A </v>
      </c>
    </row>
    <row r="88" spans="2:8" x14ac:dyDescent="0.25">
      <c r="B88" t="str">
        <f>TEXT($B$3,0) &amp;" ----- "&amp;'Data - DA'!B99</f>
        <v>Frame: 51 ----- Stem: 110x0  ----- Carbon Aerobar + 5</v>
      </c>
      <c r="C88">
        <f t="shared" ref="C88:C101" si="20">$P$8</f>
        <v>480</v>
      </c>
      <c r="D88">
        <f t="shared" si="18"/>
        <v>450</v>
      </c>
      <c r="E88">
        <f t="shared" si="19"/>
        <v>530</v>
      </c>
      <c r="F88">
        <f>$G$4+'Data - DA'!D99</f>
        <v>555</v>
      </c>
      <c r="G88">
        <f t="shared" si="16"/>
        <v>555</v>
      </c>
      <c r="H88" t="str">
        <f>'Data - DA'!G99</f>
        <v xml:space="preserve">Aerobar Bolts: Top 45mm; Bottom N/A </v>
      </c>
    </row>
    <row r="89" spans="2:8" x14ac:dyDescent="0.25">
      <c r="B89" t="str">
        <f>TEXT($B$3,0) &amp;" ----- "&amp;'Data - DA'!B100</f>
        <v>Frame: 51 ----- Stem: 110x0  ----- Carbon Aerobar + 10</v>
      </c>
      <c r="C89">
        <f t="shared" si="20"/>
        <v>480</v>
      </c>
      <c r="D89">
        <f t="shared" si="18"/>
        <v>450</v>
      </c>
      <c r="E89">
        <f t="shared" si="19"/>
        <v>530</v>
      </c>
      <c r="F89">
        <f>$G$4+'Data - DA'!D100</f>
        <v>560</v>
      </c>
      <c r="G89">
        <f t="shared" si="16"/>
        <v>560</v>
      </c>
      <c r="H89" t="str">
        <f>'Data - DA'!G100</f>
        <v xml:space="preserve">Aerobar Bolts: Top 50mm; Bottom N/A </v>
      </c>
    </row>
    <row r="90" spans="2:8" x14ac:dyDescent="0.25">
      <c r="B90" t="str">
        <f>TEXT($B$3,0) &amp;" ----- "&amp;'Data - DA'!B101</f>
        <v>Frame: 51 ----- Stem: 110x0  ----- Carbon Aerobar + 5 + 10</v>
      </c>
      <c r="C90">
        <f t="shared" si="20"/>
        <v>480</v>
      </c>
      <c r="D90">
        <f t="shared" si="18"/>
        <v>450</v>
      </c>
      <c r="E90">
        <f t="shared" si="19"/>
        <v>530</v>
      </c>
      <c r="F90">
        <f>$G$4+'Data - DA'!D101</f>
        <v>565</v>
      </c>
      <c r="G90">
        <f t="shared" si="16"/>
        <v>565</v>
      </c>
      <c r="H90" t="str">
        <f>'Data - DA'!G101</f>
        <v xml:space="preserve">Aerobar Bolts: Top 55mm; Bottom N/A </v>
      </c>
    </row>
    <row r="91" spans="2:8" x14ac:dyDescent="0.25">
      <c r="B91" t="str">
        <f>TEXT($B$3,0) &amp;" ----- "&amp;'Data - DA'!B102</f>
        <v>Frame: 51 ----- Stem: 110x0  ----- Carbon Aerobar + 20</v>
      </c>
      <c r="C91">
        <f t="shared" si="20"/>
        <v>480</v>
      </c>
      <c r="D91">
        <f t="shared" si="18"/>
        <v>450</v>
      </c>
      <c r="E91">
        <f t="shared" si="19"/>
        <v>530</v>
      </c>
      <c r="F91">
        <f>$G$4+'Data - DA'!D102</f>
        <v>571</v>
      </c>
      <c r="G91">
        <f t="shared" si="16"/>
        <v>570</v>
      </c>
      <c r="H91" t="str">
        <f>'Data - DA'!G102</f>
        <v xml:space="preserve">Aerobar Bolts: Top 20mm; Bottom 30mm </v>
      </c>
    </row>
    <row r="92" spans="2:8" x14ac:dyDescent="0.25">
      <c r="B92" t="str">
        <f>TEXT($B$3,0) &amp;" ----- "&amp;'Data - DA'!B103</f>
        <v>Frame: 51 ----- Stem: 110x0  ----- Carbon Aerobar + 20 + 5</v>
      </c>
      <c r="C92">
        <f t="shared" si="20"/>
        <v>480</v>
      </c>
      <c r="D92">
        <f t="shared" si="18"/>
        <v>450</v>
      </c>
      <c r="E92">
        <f t="shared" si="19"/>
        <v>530</v>
      </c>
      <c r="F92">
        <f>$G$4+'Data - DA'!D103</f>
        <v>575</v>
      </c>
      <c r="G92">
        <f t="shared" si="16"/>
        <v>575</v>
      </c>
      <c r="H92" t="str">
        <f>'Data - DA'!G103</f>
        <v xml:space="preserve">Aerobar Bolts: Top 25mm; Bottom 30mm </v>
      </c>
    </row>
    <row r="93" spans="2:8" x14ac:dyDescent="0.25">
      <c r="B93" t="str">
        <f>TEXT($B$3,0) &amp;" ----- "&amp;'Data - DA'!B104</f>
        <v>Frame: 51 ----- Stem: 110x0  ----- Carbon Aerobar + 20 + bridge</v>
      </c>
      <c r="C93">
        <f t="shared" si="20"/>
        <v>480</v>
      </c>
      <c r="D93">
        <f t="shared" si="18"/>
        <v>450</v>
      </c>
      <c r="E93">
        <f t="shared" si="19"/>
        <v>530</v>
      </c>
      <c r="F93">
        <f>$G$4+'Data - DA'!D104</f>
        <v>575</v>
      </c>
      <c r="G93">
        <f t="shared" si="16"/>
        <v>575</v>
      </c>
      <c r="H93" t="str">
        <f>'Data - DA'!G104</f>
        <v xml:space="preserve">Aerobar Bolts: Top 25mm; Bottom 30mm </v>
      </c>
    </row>
    <row r="94" spans="2:8" x14ac:dyDescent="0.25">
      <c r="B94" t="str">
        <f>TEXT($B$3,0) &amp;" ----- "&amp;'Data - DA'!B105</f>
        <v>Frame: 51 ----- Stem: 110x0  ----- Carbon Aerobar + 30</v>
      </c>
      <c r="C94">
        <f t="shared" si="20"/>
        <v>480</v>
      </c>
      <c r="D94">
        <f t="shared" si="18"/>
        <v>450</v>
      </c>
      <c r="E94">
        <f t="shared" si="19"/>
        <v>530</v>
      </c>
      <c r="F94">
        <f>$G$4+'Data - DA'!D105</f>
        <v>580</v>
      </c>
      <c r="G94">
        <f t="shared" si="16"/>
        <v>580</v>
      </c>
      <c r="H94" t="str">
        <f>'Data - DA'!G105</f>
        <v xml:space="preserve">Aerobar Bolts: Top 25mm; Bottom 30mm </v>
      </c>
    </row>
    <row r="95" spans="2:8" x14ac:dyDescent="0.25">
      <c r="B95" t="str">
        <f>TEXT($B$3,0) &amp;" ----- "&amp;'Data - DA'!B106</f>
        <v>Frame: 51 ----- Stem: 110x0  ----- Carbon Aerobar + 20 + bridge + 5</v>
      </c>
      <c r="C95">
        <f t="shared" si="20"/>
        <v>480</v>
      </c>
      <c r="D95">
        <f t="shared" si="18"/>
        <v>450</v>
      </c>
      <c r="E95">
        <f t="shared" si="19"/>
        <v>530</v>
      </c>
      <c r="F95">
        <f>$G$4+'Data - DA'!D106</f>
        <v>580</v>
      </c>
      <c r="G95">
        <f t="shared" si="16"/>
        <v>580</v>
      </c>
      <c r="H95" t="str">
        <f>'Data - DA'!G106</f>
        <v xml:space="preserve">Aerobar Bolts: Top 30mm; Bottom 30mm </v>
      </c>
    </row>
    <row r="96" spans="2:8" x14ac:dyDescent="0.25">
      <c r="B96" t="str">
        <f>TEXT($B$3,0) &amp;" ----- "&amp;'Data - DA'!B107</f>
        <v>Frame: 51 ----- Stem: 110x0  ----- Carbon Aerobar + 30 + bridge</v>
      </c>
      <c r="C96">
        <f t="shared" si="20"/>
        <v>480</v>
      </c>
      <c r="D96">
        <f t="shared" si="18"/>
        <v>450</v>
      </c>
      <c r="E96">
        <f t="shared" si="19"/>
        <v>530</v>
      </c>
      <c r="F96">
        <f>$G$4+'Data - DA'!D107</f>
        <v>585</v>
      </c>
      <c r="G96">
        <f t="shared" si="16"/>
        <v>585</v>
      </c>
      <c r="H96" t="str">
        <f>'Data - DA'!G107</f>
        <v xml:space="preserve">Aerobar Bolts: Top 30mm; Bottom 30mm </v>
      </c>
    </row>
    <row r="97" spans="2:8" x14ac:dyDescent="0.25">
      <c r="B97" t="str">
        <f>TEXT($B$3,0) &amp;" ----- "&amp;'Data - DA'!B108</f>
        <v>Frame: 51 ----- Stem: 110x0  ----- Carbon Aerobar + 30 + bridge + 5</v>
      </c>
      <c r="C97">
        <f t="shared" si="20"/>
        <v>480</v>
      </c>
      <c r="D97">
        <f t="shared" si="18"/>
        <v>450</v>
      </c>
      <c r="E97">
        <f t="shared" si="19"/>
        <v>530</v>
      </c>
      <c r="F97">
        <f>$G$4+'Data - DA'!D108</f>
        <v>590</v>
      </c>
      <c r="G97">
        <f t="shared" si="16"/>
        <v>590</v>
      </c>
      <c r="H97" t="str">
        <f>'Data - DA'!G108</f>
        <v xml:space="preserve">Aerobar Bolts: Top 35mm; Bottom 30mm </v>
      </c>
    </row>
    <row r="98" spans="2:8" x14ac:dyDescent="0.25">
      <c r="B98" t="str">
        <f>TEXT($B$3,0) &amp;" ----- "&amp;'Data - DA'!B109</f>
        <v>Frame: 51 ----- Stem: 110x0  ----- Carbon Aerobar + 40 + bridge</v>
      </c>
      <c r="C98">
        <f t="shared" si="20"/>
        <v>480</v>
      </c>
      <c r="D98">
        <f t="shared" si="18"/>
        <v>450</v>
      </c>
      <c r="E98">
        <f t="shared" si="19"/>
        <v>530</v>
      </c>
      <c r="F98">
        <f>$G$4+'Data - DA'!D109</f>
        <v>595</v>
      </c>
      <c r="G98">
        <f t="shared" si="16"/>
        <v>595</v>
      </c>
      <c r="H98" t="str">
        <f>'Data - DA'!G109</f>
        <v xml:space="preserve">Aerobar Bolts: Top 35mm; Bottom 30mm </v>
      </c>
    </row>
    <row r="99" spans="2:8" x14ac:dyDescent="0.25">
      <c r="B99" t="str">
        <f>TEXT($B$3,0) &amp;" ----- "&amp;'Data - DA'!B110</f>
        <v>Frame: 51 ----- Stem: 110x0  ----- Carbon Aerobar + 40 + bridge + 5</v>
      </c>
      <c r="C99">
        <f t="shared" si="20"/>
        <v>480</v>
      </c>
      <c r="D99">
        <f t="shared" si="18"/>
        <v>450</v>
      </c>
      <c r="E99">
        <f t="shared" si="19"/>
        <v>530</v>
      </c>
      <c r="F99">
        <f>$G$4+'Data - DA'!D110</f>
        <v>600</v>
      </c>
      <c r="G99">
        <f t="shared" si="16"/>
        <v>600</v>
      </c>
      <c r="H99" t="str">
        <f>'Data - DA'!G110</f>
        <v xml:space="preserve">Aerobar Bolts: Top 35mm; Bottom 30mm </v>
      </c>
    </row>
    <row r="100" spans="2:8" x14ac:dyDescent="0.25">
      <c r="B100" t="str">
        <f>TEXT($B$3,0) &amp;" ----- "&amp;'Data - DA'!B111</f>
        <v>Frame: 51 ----- Stem: 110x0  ----- Carbon Aerobar + 40 + bridge + 10</v>
      </c>
      <c r="C100">
        <f t="shared" si="20"/>
        <v>480</v>
      </c>
      <c r="D100">
        <f t="shared" si="18"/>
        <v>450</v>
      </c>
      <c r="E100">
        <f t="shared" si="19"/>
        <v>530</v>
      </c>
      <c r="F100">
        <f>$G$4+'Data - DA'!D111</f>
        <v>605</v>
      </c>
      <c r="G100">
        <f t="shared" si="16"/>
        <v>605</v>
      </c>
      <c r="H100" t="str">
        <f>'Data - DA'!G111</f>
        <v xml:space="preserve">Aerobar Bolts: Top 40mm; Bottom 30mm </v>
      </c>
    </row>
    <row r="101" spans="2:8" x14ac:dyDescent="0.25">
      <c r="B101" t="str">
        <f>TEXT($B$3,0) &amp;" ----- "&amp;'Data - DA'!B112</f>
        <v>Frame: 51 ----- Stem: 110x0  ----- Carbon Aerobar + 40 + bridge + 10 + 5</v>
      </c>
      <c r="C101">
        <f t="shared" si="20"/>
        <v>480</v>
      </c>
      <c r="D101">
        <f t="shared" si="18"/>
        <v>450</v>
      </c>
      <c r="E101">
        <f t="shared" si="19"/>
        <v>530</v>
      </c>
      <c r="F101">
        <f>$G$4+'Data - DA'!D112</f>
        <v>610</v>
      </c>
      <c r="G101">
        <f t="shared" si="16"/>
        <v>610</v>
      </c>
      <c r="H101" t="str">
        <f>'Data - DA'!G112</f>
        <v xml:space="preserve">Aerobar Bolts: Top 45mm; Bottom 30mm </v>
      </c>
    </row>
    <row r="102" spans="2:8" x14ac:dyDescent="0.25">
      <c r="B102" t="str">
        <f>TEXT($B$3,0) &amp;" ----- "&amp;'Data - DA'!B113</f>
        <v>Frame: 51 ----- Stem: 70x30  ----- Aluminium Aerobar</v>
      </c>
      <c r="C102">
        <f>$K$8</f>
        <v>435</v>
      </c>
      <c r="D102">
        <f t="shared" ref="D102:D116" si="21">$K$9</f>
        <v>405</v>
      </c>
      <c r="E102">
        <f t="shared" ref="E102:E116" si="22">$K$10</f>
        <v>485</v>
      </c>
      <c r="F102">
        <f>$G$4+'Data - DA'!D113</f>
        <v>596</v>
      </c>
      <c r="G102">
        <f t="shared" si="13"/>
        <v>595</v>
      </c>
      <c r="H102" t="str">
        <f>'Data - DA'!G113</f>
        <v xml:space="preserve">Aerobar Bolts: Top 20mm; Bottom N/A </v>
      </c>
    </row>
    <row r="103" spans="2:8" x14ac:dyDescent="0.25">
      <c r="B103" t="str">
        <f>TEXT($B$3,0) &amp;" ----- "&amp;'Data - DA'!B114</f>
        <v>Frame: 51 ----- Stem: 70x30  ----- Aluminium Aerobar + 5</v>
      </c>
      <c r="C103">
        <f t="shared" ref="C103:C116" si="23">$K$8</f>
        <v>435</v>
      </c>
      <c r="D103">
        <f t="shared" si="21"/>
        <v>405</v>
      </c>
      <c r="E103">
        <f t="shared" si="22"/>
        <v>485</v>
      </c>
      <c r="F103">
        <f>$G$4+'Data - DA'!D114</f>
        <v>601</v>
      </c>
      <c r="G103">
        <f t="shared" si="13"/>
        <v>600</v>
      </c>
      <c r="H103" t="str">
        <f>'Data - DA'!G114</f>
        <v xml:space="preserve">Aerobar Bolts: Top 25mm; Bottom N/A </v>
      </c>
    </row>
    <row r="104" spans="2:8" x14ac:dyDescent="0.25">
      <c r="B104" t="str">
        <f>TEXT($B$3,0) &amp;" ----- "&amp;'Data - DA'!B115</f>
        <v>Frame: 51 ----- Stem: 70x30  ----- Aluminium Aerobar + 10</v>
      </c>
      <c r="C104">
        <f t="shared" si="23"/>
        <v>435</v>
      </c>
      <c r="D104">
        <f t="shared" si="21"/>
        <v>405</v>
      </c>
      <c r="E104">
        <f t="shared" si="22"/>
        <v>485</v>
      </c>
      <c r="F104">
        <f>$G$4+'Data - DA'!D115</f>
        <v>606</v>
      </c>
      <c r="G104">
        <f t="shared" si="13"/>
        <v>605</v>
      </c>
      <c r="H104" t="str">
        <f>'Data - DA'!G115</f>
        <v xml:space="preserve">Aerobar Bolts: Top 30mm; Bottom N/A </v>
      </c>
    </row>
    <row r="105" spans="2:8" x14ac:dyDescent="0.25">
      <c r="B105" t="str">
        <f>TEXT($B$3,0) &amp;" ----- "&amp;'Data - DA'!B116</f>
        <v>Frame: 51 ----- Stem: 70x30  ----- Aluminium Aerobar + 5 + 10</v>
      </c>
      <c r="C105">
        <f t="shared" si="23"/>
        <v>435</v>
      </c>
      <c r="D105">
        <f t="shared" si="21"/>
        <v>405</v>
      </c>
      <c r="E105">
        <f t="shared" si="22"/>
        <v>485</v>
      </c>
      <c r="F105">
        <f>$G$4+'Data - DA'!D116</f>
        <v>611</v>
      </c>
      <c r="G105">
        <f t="shared" si="13"/>
        <v>610</v>
      </c>
      <c r="H105" t="str">
        <f>'Data - DA'!G116</f>
        <v xml:space="preserve">Aerobar Bolts: Top 35mm; Bottom N/A </v>
      </c>
    </row>
    <row r="106" spans="2:8" x14ac:dyDescent="0.25">
      <c r="B106" t="str">
        <f>TEXT($B$3,0) &amp;" ----- "&amp;'Data - DA'!B117</f>
        <v>Frame: 51 ----- Stem: 70x30  ----- Aluminium Aerobar + 20</v>
      </c>
      <c r="C106">
        <f t="shared" si="23"/>
        <v>435</v>
      </c>
      <c r="D106">
        <f t="shared" si="21"/>
        <v>405</v>
      </c>
      <c r="E106">
        <f t="shared" si="22"/>
        <v>485</v>
      </c>
      <c r="F106">
        <f>$G$4+'Data - DA'!D117</f>
        <v>616</v>
      </c>
      <c r="G106">
        <f t="shared" si="13"/>
        <v>615</v>
      </c>
      <c r="H106" t="str">
        <f>'Data - DA'!G117</f>
        <v xml:space="preserve">Aerobar Bolts: Top 20mm; Bottom 15mm </v>
      </c>
    </row>
    <row r="107" spans="2:8" x14ac:dyDescent="0.25">
      <c r="B107" t="str">
        <f>TEXT($B$3,0) &amp;" ----- "&amp;'Data - DA'!B118</f>
        <v>Frame: 51 ----- Stem: 70x30  ----- Aluminium Aerobar + 20 + 5</v>
      </c>
      <c r="C107">
        <f t="shared" si="23"/>
        <v>435</v>
      </c>
      <c r="D107">
        <f t="shared" si="21"/>
        <v>405</v>
      </c>
      <c r="E107">
        <f t="shared" si="22"/>
        <v>485</v>
      </c>
      <c r="F107">
        <f>$G$4+'Data - DA'!D118</f>
        <v>621</v>
      </c>
      <c r="G107">
        <f t="shared" si="13"/>
        <v>620</v>
      </c>
      <c r="H107" t="str">
        <f>'Data - DA'!G118</f>
        <v xml:space="preserve">Aerobar Bolts: Top 25mm; Bottom 15mm </v>
      </c>
    </row>
    <row r="108" spans="2:8" x14ac:dyDescent="0.25">
      <c r="B108" t="str">
        <f>TEXT($B$3,0) &amp;" ----- "&amp;'Data - DA'!B119</f>
        <v>Frame: 51 ----- Stem: 70x30  ----- Aluminium Aerobar + 20 + bridge</v>
      </c>
      <c r="C108">
        <f t="shared" si="23"/>
        <v>435</v>
      </c>
      <c r="D108">
        <f t="shared" si="21"/>
        <v>405</v>
      </c>
      <c r="E108">
        <f t="shared" si="22"/>
        <v>485</v>
      </c>
      <c r="F108">
        <f>$G$4+'Data - DA'!D119</f>
        <v>621</v>
      </c>
      <c r="G108">
        <f t="shared" si="13"/>
        <v>620</v>
      </c>
      <c r="H108" t="str">
        <f>'Data - DA'!G119</f>
        <v xml:space="preserve">Aerobar Bolts: Top 25mm; Bottom 15mm </v>
      </c>
    </row>
    <row r="109" spans="2:8" x14ac:dyDescent="0.25">
      <c r="B109" t="str">
        <f>TEXT($B$3,0) &amp;" ----- "&amp;'Data - DA'!B120</f>
        <v>Frame: 51 ----- Stem: 70x30  ----- Aluminium Aerobar + 30</v>
      </c>
      <c r="C109">
        <f t="shared" si="23"/>
        <v>435</v>
      </c>
      <c r="D109">
        <f t="shared" si="21"/>
        <v>405</v>
      </c>
      <c r="E109">
        <f t="shared" si="22"/>
        <v>485</v>
      </c>
      <c r="F109">
        <f>$G$4+'Data - DA'!D120</f>
        <v>626</v>
      </c>
      <c r="G109">
        <f t="shared" si="13"/>
        <v>625</v>
      </c>
      <c r="H109" t="str">
        <f>'Data - DA'!G120</f>
        <v xml:space="preserve">Aerobar Bolts: Top 25mm; Bottom 15mm </v>
      </c>
    </row>
    <row r="110" spans="2:8" x14ac:dyDescent="0.25">
      <c r="B110" t="str">
        <f>TEXT($B$3,0) &amp;" ----- "&amp;'Data - DA'!B121</f>
        <v>Frame: 51 ----- Stem: 70x30  ----- Aluminium Aerobar + 20 + bridge + 5</v>
      </c>
      <c r="C110">
        <f t="shared" si="23"/>
        <v>435</v>
      </c>
      <c r="D110">
        <f t="shared" si="21"/>
        <v>405</v>
      </c>
      <c r="E110">
        <f t="shared" si="22"/>
        <v>485</v>
      </c>
      <c r="F110">
        <f>$G$4+'Data - DA'!D121</f>
        <v>626</v>
      </c>
      <c r="G110">
        <f t="shared" si="13"/>
        <v>625</v>
      </c>
      <c r="H110" t="str">
        <f>'Data - DA'!G121</f>
        <v xml:space="preserve">Aerobar Bolts: Top 25mm; Bottom 15mm </v>
      </c>
    </row>
    <row r="111" spans="2:8" x14ac:dyDescent="0.25">
      <c r="B111" t="str">
        <f>TEXT($B$3,0) &amp;" ----- "&amp;'Data - DA'!B122</f>
        <v>Frame: 51 ----- Stem: 70x30  ----- Aluminium Aerobar + 30 + bridge</v>
      </c>
      <c r="C111">
        <f t="shared" si="23"/>
        <v>435</v>
      </c>
      <c r="D111">
        <f t="shared" si="21"/>
        <v>405</v>
      </c>
      <c r="E111">
        <f t="shared" si="22"/>
        <v>485</v>
      </c>
      <c r="F111">
        <f>$G$4+'Data - DA'!D122</f>
        <v>631</v>
      </c>
      <c r="G111">
        <f t="shared" si="13"/>
        <v>630</v>
      </c>
      <c r="H111" t="str">
        <f>'Data - DA'!G122</f>
        <v xml:space="preserve">Aerobar Bolts: Top 30mm; Bottom 15mm </v>
      </c>
    </row>
    <row r="112" spans="2:8" x14ac:dyDescent="0.25">
      <c r="B112" t="str">
        <f>TEXT($B$3,0) &amp;" ----- "&amp;'Data - DA'!B123</f>
        <v>Frame: 51 ----- Stem: 70x30  ----- Aluminium Aerobar + 30 + bridge + 5</v>
      </c>
      <c r="C112">
        <f t="shared" si="23"/>
        <v>435</v>
      </c>
      <c r="D112">
        <f t="shared" si="21"/>
        <v>405</v>
      </c>
      <c r="E112">
        <f t="shared" si="22"/>
        <v>485</v>
      </c>
      <c r="F112">
        <f>$G$4+'Data - DA'!D123</f>
        <v>636</v>
      </c>
      <c r="G112">
        <f t="shared" si="13"/>
        <v>635</v>
      </c>
      <c r="H112" t="str">
        <f>'Data - DA'!G123</f>
        <v xml:space="preserve">Aerobar Bolts: Top 30mm; Bottom 15mm </v>
      </c>
    </row>
    <row r="113" spans="2:8" x14ac:dyDescent="0.25">
      <c r="B113" t="str">
        <f>TEXT($B$3,0) &amp;" ----- "&amp;'Data - DA'!B124</f>
        <v>Frame: 51 ----- Stem: 70x30  ----- Aluminium Aerobar + 40 + bridge</v>
      </c>
      <c r="C113">
        <f t="shared" si="23"/>
        <v>435</v>
      </c>
      <c r="D113">
        <f t="shared" si="21"/>
        <v>405</v>
      </c>
      <c r="E113">
        <f t="shared" si="22"/>
        <v>485</v>
      </c>
      <c r="F113">
        <f>$G$4+'Data - DA'!D124</f>
        <v>641</v>
      </c>
      <c r="G113">
        <f t="shared" si="13"/>
        <v>640</v>
      </c>
      <c r="H113" t="str">
        <f>'Data - DA'!G124</f>
        <v xml:space="preserve">Aerobar Bolts: Top 35mm; Bottom 15mm </v>
      </c>
    </row>
    <row r="114" spans="2:8" x14ac:dyDescent="0.25">
      <c r="B114" t="str">
        <f>TEXT($B$3,0) &amp;" ----- "&amp;'Data - DA'!B125</f>
        <v>Frame: 51 ----- Stem: 70x30  ----- Aluminium Aerobar + 40 + bridge + 5</v>
      </c>
      <c r="C114">
        <f t="shared" si="23"/>
        <v>435</v>
      </c>
      <c r="D114">
        <f t="shared" si="21"/>
        <v>405</v>
      </c>
      <c r="E114">
        <f t="shared" si="22"/>
        <v>485</v>
      </c>
      <c r="F114">
        <f>$G$4+'Data - DA'!D125</f>
        <v>646</v>
      </c>
      <c r="G114">
        <f t="shared" si="13"/>
        <v>645</v>
      </c>
      <c r="H114" t="str">
        <f>'Data - DA'!G125</f>
        <v xml:space="preserve">Aerobar Bolts: Top 35mm; Bottom 15mm </v>
      </c>
    </row>
    <row r="115" spans="2:8" x14ac:dyDescent="0.25">
      <c r="B115" t="str">
        <f>TEXT($B$3,0) &amp;" ----- "&amp;'Data - DA'!B126</f>
        <v>Frame: 51 ----- Stem: 70x30  ----- Aluminium Aerobar + 40 + bridge + 10</v>
      </c>
      <c r="C115">
        <f t="shared" si="23"/>
        <v>435</v>
      </c>
      <c r="D115">
        <f t="shared" si="21"/>
        <v>405</v>
      </c>
      <c r="E115">
        <f t="shared" si="22"/>
        <v>485</v>
      </c>
      <c r="F115">
        <f>$G$4+'Data - DA'!D126</f>
        <v>651</v>
      </c>
      <c r="G115">
        <f t="shared" si="13"/>
        <v>650</v>
      </c>
      <c r="H115" t="str">
        <f>'Data - DA'!G126</f>
        <v xml:space="preserve">Aerobar Bolts: Top 35mm; Bottom 15mm </v>
      </c>
    </row>
    <row r="116" spans="2:8" x14ac:dyDescent="0.25">
      <c r="B116" t="str">
        <f>TEXT($B$3,0) &amp;" ----- "&amp;'Data - DA'!B127</f>
        <v>Frame: 51 ----- Stem: 70x30  ----- Aluminium Aerobar + 40 + bridge + 10 + 5</v>
      </c>
      <c r="C116">
        <f t="shared" si="23"/>
        <v>435</v>
      </c>
      <c r="D116">
        <f t="shared" si="21"/>
        <v>405</v>
      </c>
      <c r="E116">
        <f t="shared" si="22"/>
        <v>485</v>
      </c>
      <c r="F116">
        <f>$G$4+'Data - DA'!D127</f>
        <v>656</v>
      </c>
      <c r="G116">
        <f t="shared" si="13"/>
        <v>655</v>
      </c>
      <c r="H116" t="str">
        <f>'Data - DA'!G127</f>
        <v xml:space="preserve">Aerobar Bolts: Top 35mm; Bottom 25mm </v>
      </c>
    </row>
    <row r="117" spans="2:8" x14ac:dyDescent="0.25">
      <c r="B117" t="str">
        <f>TEXT($B$3,0) &amp;" ----- "&amp;'Data - DA'!B128</f>
        <v>Frame: 51 ----- Stem: 70x60  ----- Aluminium Aerobar</v>
      </c>
      <c r="C117">
        <f>$L$8</f>
        <v>425</v>
      </c>
      <c r="D117">
        <f t="shared" ref="D117:D131" si="24">$L$9</f>
        <v>395</v>
      </c>
      <c r="E117">
        <f t="shared" ref="E117:E131" si="25">$L$10</f>
        <v>475</v>
      </c>
      <c r="F117">
        <f>$G$4+'Data - DA'!D128</f>
        <v>627</v>
      </c>
      <c r="G117">
        <f t="shared" si="13"/>
        <v>625</v>
      </c>
      <c r="H117" t="str">
        <f>'Data - DA'!G128</f>
        <v xml:space="preserve">Aerobar Bolts: Top 20mm; Bottom N/A </v>
      </c>
    </row>
    <row r="118" spans="2:8" x14ac:dyDescent="0.25">
      <c r="B118" t="str">
        <f>TEXT($B$3,0) &amp;" ----- "&amp;'Data - DA'!B129</f>
        <v>Frame: 51 ----- Stem: 70x60  ----- Aluminium Aerobar + 5</v>
      </c>
      <c r="C118">
        <f t="shared" ref="C118:C131" si="26">$L$8</f>
        <v>425</v>
      </c>
      <c r="D118">
        <f t="shared" si="24"/>
        <v>395</v>
      </c>
      <c r="E118">
        <f t="shared" si="25"/>
        <v>475</v>
      </c>
      <c r="F118">
        <f>$G$4+'Data - DA'!D129</f>
        <v>632</v>
      </c>
      <c r="G118">
        <f t="shared" si="13"/>
        <v>630</v>
      </c>
      <c r="H118" t="str">
        <f>'Data - DA'!G129</f>
        <v xml:space="preserve">Aerobar Bolts: Top 25mm; Bottom N/A </v>
      </c>
    </row>
    <row r="119" spans="2:8" x14ac:dyDescent="0.25">
      <c r="B119" t="str">
        <f>TEXT($B$3,0) &amp;" ----- "&amp;'Data - DA'!B130</f>
        <v>Frame: 51 ----- Stem: 70x60  ----- Aluminium Aerobar + 10</v>
      </c>
      <c r="C119">
        <f t="shared" si="26"/>
        <v>425</v>
      </c>
      <c r="D119">
        <f t="shared" si="24"/>
        <v>395</v>
      </c>
      <c r="E119">
        <f t="shared" si="25"/>
        <v>475</v>
      </c>
      <c r="F119">
        <f>$G$4+'Data - DA'!D130</f>
        <v>637</v>
      </c>
      <c r="G119">
        <f t="shared" si="13"/>
        <v>635</v>
      </c>
      <c r="H119" t="str">
        <f>'Data - DA'!G130</f>
        <v xml:space="preserve">Aerobar Bolts: Top 30mm; Bottom N/A </v>
      </c>
    </row>
    <row r="120" spans="2:8" x14ac:dyDescent="0.25">
      <c r="B120" t="str">
        <f>TEXT($B$3,0) &amp;" ----- "&amp;'Data - DA'!B131</f>
        <v>Frame: 51 ----- Stem: 70x60  ----- Aluminium Aerobar + 5 + 10</v>
      </c>
      <c r="C120">
        <f t="shared" si="26"/>
        <v>425</v>
      </c>
      <c r="D120">
        <f t="shared" si="24"/>
        <v>395</v>
      </c>
      <c r="E120">
        <f t="shared" si="25"/>
        <v>475</v>
      </c>
      <c r="F120">
        <f>$G$4+'Data - DA'!D131</f>
        <v>642</v>
      </c>
      <c r="G120">
        <f t="shared" si="13"/>
        <v>640</v>
      </c>
      <c r="H120" t="str">
        <f>'Data - DA'!G131</f>
        <v xml:space="preserve">Aerobar Bolts: Top 35mm; Bottom N/A </v>
      </c>
    </row>
    <row r="121" spans="2:8" x14ac:dyDescent="0.25">
      <c r="B121" t="str">
        <f>TEXT($B$3,0) &amp;" ----- "&amp;'Data - DA'!B132</f>
        <v>Frame: 51 ----- Stem: 70x60  ----- Aluminium Aerobar + 20</v>
      </c>
      <c r="C121">
        <f t="shared" si="26"/>
        <v>425</v>
      </c>
      <c r="D121">
        <f t="shared" si="24"/>
        <v>395</v>
      </c>
      <c r="E121">
        <f t="shared" si="25"/>
        <v>475</v>
      </c>
      <c r="F121">
        <f>$G$4+'Data - DA'!D132</f>
        <v>647</v>
      </c>
      <c r="G121">
        <f t="shared" si="13"/>
        <v>645</v>
      </c>
      <c r="H121" t="str">
        <f>'Data - DA'!G132</f>
        <v xml:space="preserve">Aerobar Bolts: Top 20mm; Bottom 15mm </v>
      </c>
    </row>
    <row r="122" spans="2:8" x14ac:dyDescent="0.25">
      <c r="B122" t="str">
        <f>TEXT($B$3,0) &amp;" ----- "&amp;'Data - DA'!B133</f>
        <v>Frame: 51 ----- Stem: 70x60  ----- Aluminium Aerobar + 20 + 5</v>
      </c>
      <c r="C122">
        <f t="shared" si="26"/>
        <v>425</v>
      </c>
      <c r="D122">
        <f t="shared" si="24"/>
        <v>395</v>
      </c>
      <c r="E122">
        <f t="shared" si="25"/>
        <v>475</v>
      </c>
      <c r="F122">
        <f>$G$4+'Data - DA'!D133</f>
        <v>652</v>
      </c>
      <c r="G122">
        <f t="shared" si="13"/>
        <v>650</v>
      </c>
      <c r="H122" t="str">
        <f>'Data - DA'!G133</f>
        <v xml:space="preserve">Aerobar Bolts: Top 25mm; Bottom 15mm </v>
      </c>
    </row>
    <row r="123" spans="2:8" x14ac:dyDescent="0.25">
      <c r="B123" t="str">
        <f>TEXT($B$3,0) &amp;" ----- "&amp;'Data - DA'!B134</f>
        <v>Frame: 51 ----- Stem: 70x60  ----- Aluminium Aerobar + 20 + bridge</v>
      </c>
      <c r="C123">
        <f t="shared" si="26"/>
        <v>425</v>
      </c>
      <c r="D123">
        <f t="shared" si="24"/>
        <v>395</v>
      </c>
      <c r="E123">
        <f t="shared" si="25"/>
        <v>475</v>
      </c>
      <c r="F123">
        <f>$G$4+'Data - DA'!D134</f>
        <v>652</v>
      </c>
      <c r="G123">
        <f t="shared" si="13"/>
        <v>650</v>
      </c>
      <c r="H123" t="str">
        <f>'Data - DA'!G134</f>
        <v xml:space="preserve">Aerobar Bolts: Top 25mm; Bottom 15mm </v>
      </c>
    </row>
    <row r="124" spans="2:8" x14ac:dyDescent="0.25">
      <c r="B124" t="str">
        <f>TEXT($B$3,0) &amp;" ----- "&amp;'Data - DA'!B135</f>
        <v>Frame: 51 ----- Stem: 70x60  ----- Aluminium Aerobar + 30</v>
      </c>
      <c r="C124">
        <f t="shared" si="26"/>
        <v>425</v>
      </c>
      <c r="D124">
        <f t="shared" si="24"/>
        <v>395</v>
      </c>
      <c r="E124">
        <f t="shared" si="25"/>
        <v>475</v>
      </c>
      <c r="F124">
        <f>$G$4+'Data - DA'!D135</f>
        <v>657</v>
      </c>
      <c r="G124">
        <f t="shared" si="13"/>
        <v>655</v>
      </c>
      <c r="H124" t="str">
        <f>'Data - DA'!G135</f>
        <v xml:space="preserve">Aerobar Bolts: Top 25mm; Bottom 15mm </v>
      </c>
    </row>
    <row r="125" spans="2:8" x14ac:dyDescent="0.25">
      <c r="B125" t="str">
        <f>TEXT($B$3,0) &amp;" ----- "&amp;'Data - DA'!B136</f>
        <v>Frame: 51 ----- Stem: 70x60  ----- Aluminium Aerobar + 20 + bridge + 5</v>
      </c>
      <c r="C125">
        <f t="shared" si="26"/>
        <v>425</v>
      </c>
      <c r="D125">
        <f t="shared" si="24"/>
        <v>395</v>
      </c>
      <c r="E125">
        <f t="shared" si="25"/>
        <v>475</v>
      </c>
      <c r="F125">
        <f>$G$4+'Data - DA'!D136</f>
        <v>657</v>
      </c>
      <c r="G125">
        <f t="shared" si="13"/>
        <v>655</v>
      </c>
      <c r="H125" t="str">
        <f>'Data - DA'!G136</f>
        <v xml:space="preserve">Aerobar Bolts: Top 25mm; Bottom 15mm </v>
      </c>
    </row>
    <row r="126" spans="2:8" x14ac:dyDescent="0.25">
      <c r="B126" t="str">
        <f>TEXT($B$3,0) &amp;" ----- "&amp;'Data - DA'!B137</f>
        <v>Frame: 51 ----- Stem: 70x60  ----- Aluminium Aerobar + 30 + bridge</v>
      </c>
      <c r="C126">
        <f t="shared" si="26"/>
        <v>425</v>
      </c>
      <c r="D126">
        <f t="shared" si="24"/>
        <v>395</v>
      </c>
      <c r="E126">
        <f t="shared" si="25"/>
        <v>475</v>
      </c>
      <c r="F126">
        <f>$G$4+'Data - DA'!D137</f>
        <v>662</v>
      </c>
      <c r="G126">
        <f t="shared" si="13"/>
        <v>660</v>
      </c>
      <c r="H126" t="str">
        <f>'Data - DA'!G137</f>
        <v xml:space="preserve">Aerobar Bolts: Top 30mm; Bottom 15mm </v>
      </c>
    </row>
    <row r="127" spans="2:8" x14ac:dyDescent="0.25">
      <c r="B127" t="str">
        <f>TEXT($B$3,0) &amp;" ----- "&amp;'Data - DA'!B138</f>
        <v>Frame: 51 ----- Stem: 70x60  ----- Aluminium Aerobar + 30 + bridge + 5</v>
      </c>
      <c r="C127">
        <f t="shared" si="26"/>
        <v>425</v>
      </c>
      <c r="D127">
        <f t="shared" si="24"/>
        <v>395</v>
      </c>
      <c r="E127">
        <f t="shared" si="25"/>
        <v>475</v>
      </c>
      <c r="F127">
        <f>$G$4+'Data - DA'!D138</f>
        <v>667</v>
      </c>
      <c r="G127">
        <f t="shared" si="13"/>
        <v>665</v>
      </c>
      <c r="H127" t="str">
        <f>'Data - DA'!G138</f>
        <v xml:space="preserve">Aerobar Bolts: Top 30mm; Bottom 15mm </v>
      </c>
    </row>
    <row r="128" spans="2:8" x14ac:dyDescent="0.25">
      <c r="B128" t="str">
        <f>TEXT($B$3,0) &amp;" ----- "&amp;'Data - DA'!B139</f>
        <v>Frame: 51 ----- Stem: 70x60  ----- Aluminium Aerobar + 40 + bridge</v>
      </c>
      <c r="C128">
        <f t="shared" si="26"/>
        <v>425</v>
      </c>
      <c r="D128">
        <f t="shared" si="24"/>
        <v>395</v>
      </c>
      <c r="E128">
        <f t="shared" si="25"/>
        <v>475</v>
      </c>
      <c r="F128">
        <f>$G$4+'Data - DA'!D139</f>
        <v>672</v>
      </c>
      <c r="G128">
        <f t="shared" si="13"/>
        <v>670</v>
      </c>
      <c r="H128" t="str">
        <f>'Data - DA'!G139</f>
        <v xml:space="preserve">Aerobar Bolts: Top 35mm; Bottom 15mm </v>
      </c>
    </row>
    <row r="129" spans="2:8" x14ac:dyDescent="0.25">
      <c r="B129" t="str">
        <f>TEXT($B$3,0) &amp;" ----- "&amp;'Data - DA'!B140</f>
        <v>Frame: 51 ----- Stem: 70x60  ----- Aluminium Aerobar + 40 + bridge + 5</v>
      </c>
      <c r="C129">
        <f t="shared" si="26"/>
        <v>425</v>
      </c>
      <c r="D129">
        <f t="shared" si="24"/>
        <v>395</v>
      </c>
      <c r="E129">
        <f t="shared" si="25"/>
        <v>475</v>
      </c>
      <c r="F129">
        <f>$G$4+'Data - DA'!D140</f>
        <v>677</v>
      </c>
      <c r="G129">
        <f t="shared" si="13"/>
        <v>675</v>
      </c>
      <c r="H129" t="str">
        <f>'Data - DA'!G140</f>
        <v xml:space="preserve">Aerobar Bolts: Top 35mm; Bottom 15mm </v>
      </c>
    </row>
    <row r="130" spans="2:8" x14ac:dyDescent="0.25">
      <c r="B130" t="str">
        <f>TEXT($B$3,0) &amp;" ----- "&amp;'Data - DA'!B141</f>
        <v>Frame: 51 ----- Stem: 70x60  ----- Aluminium Aerobar + 40 + bridge + 10</v>
      </c>
      <c r="C130">
        <f t="shared" si="26"/>
        <v>425</v>
      </c>
      <c r="D130">
        <f t="shared" si="24"/>
        <v>395</v>
      </c>
      <c r="E130">
        <f t="shared" si="25"/>
        <v>475</v>
      </c>
      <c r="F130">
        <f>$G$4+'Data - DA'!D141</f>
        <v>682</v>
      </c>
      <c r="G130">
        <f t="shared" si="13"/>
        <v>680</v>
      </c>
      <c r="H130" t="str">
        <f>'Data - DA'!G141</f>
        <v xml:space="preserve">Aerobar Bolts: Top 35mm; Bottom 15mm </v>
      </c>
    </row>
    <row r="131" spans="2:8" x14ac:dyDescent="0.25">
      <c r="B131" t="str">
        <f>TEXT($B$3,0) &amp;" ----- "&amp;'Data - DA'!B142</f>
        <v>Frame: 51 ----- Stem: 70x60  ----- Aluminium Aerobar + 40 + bridge + 10 + 5</v>
      </c>
      <c r="C131">
        <f t="shared" si="26"/>
        <v>425</v>
      </c>
      <c r="D131">
        <f t="shared" si="24"/>
        <v>395</v>
      </c>
      <c r="E131">
        <f t="shared" si="25"/>
        <v>475</v>
      </c>
      <c r="F131">
        <f>$G$4+'Data - DA'!D142</f>
        <v>687</v>
      </c>
      <c r="G131">
        <f t="shared" si="13"/>
        <v>685</v>
      </c>
      <c r="H131" t="str">
        <f>'Data - DA'!G142</f>
        <v xml:space="preserve">Aerobar Bolts: Top 35mm; Bottom 25mm </v>
      </c>
    </row>
    <row r="132" spans="2:8" x14ac:dyDescent="0.25">
      <c r="B132" t="str">
        <f>TEXT($B$3,0) &amp;" ----- "&amp;'Data - DA'!B143</f>
        <v>Frame: 51 ----- Stem: 100x30  ----- Aluminium Aerobar</v>
      </c>
      <c r="C132">
        <f>$M$8</f>
        <v>465</v>
      </c>
      <c r="D132">
        <f t="shared" ref="D132:D146" si="27">$M$9</f>
        <v>435</v>
      </c>
      <c r="E132">
        <f t="shared" ref="E132:E146" si="28">$M$10</f>
        <v>515</v>
      </c>
      <c r="F132">
        <f>$G$4+'Data - DA'!D143</f>
        <v>597</v>
      </c>
      <c r="G132">
        <f t="shared" si="13"/>
        <v>595</v>
      </c>
      <c r="H132" t="str">
        <f>'Data - DA'!G143</f>
        <v xml:space="preserve">Aerobar Bolts: Top 20mm; Bottom N/A </v>
      </c>
    </row>
    <row r="133" spans="2:8" x14ac:dyDescent="0.25">
      <c r="B133" t="str">
        <f>TEXT($B$3,0) &amp;" ----- "&amp;'Data - DA'!B144</f>
        <v>Frame: 51 ----- Stem: 100x30  ----- Aluminium Aerobar + 5</v>
      </c>
      <c r="C133">
        <f t="shared" ref="C133:C146" si="29">$M$8</f>
        <v>465</v>
      </c>
      <c r="D133">
        <f t="shared" si="27"/>
        <v>435</v>
      </c>
      <c r="E133">
        <f t="shared" si="28"/>
        <v>515</v>
      </c>
      <c r="F133">
        <f>$G$4+'Data - DA'!D144</f>
        <v>602</v>
      </c>
      <c r="G133">
        <f t="shared" si="13"/>
        <v>600</v>
      </c>
      <c r="H133" t="str">
        <f>'Data - DA'!G144</f>
        <v xml:space="preserve">Aerobar Bolts: Top 25mm; Bottom N/A </v>
      </c>
    </row>
    <row r="134" spans="2:8" x14ac:dyDescent="0.25">
      <c r="B134" t="str">
        <f>TEXT($B$3,0) &amp;" ----- "&amp;'Data - DA'!B145</f>
        <v>Frame: 51 ----- Stem: 100x30  ----- Aluminium Aerobar + 10</v>
      </c>
      <c r="C134">
        <f t="shared" si="29"/>
        <v>465</v>
      </c>
      <c r="D134">
        <f t="shared" si="27"/>
        <v>435</v>
      </c>
      <c r="E134">
        <f t="shared" si="28"/>
        <v>515</v>
      </c>
      <c r="F134">
        <f>$G$4+'Data - DA'!D145</f>
        <v>607</v>
      </c>
      <c r="G134">
        <f t="shared" si="13"/>
        <v>605</v>
      </c>
      <c r="H134" t="str">
        <f>'Data - DA'!G145</f>
        <v xml:space="preserve">Aerobar Bolts: Top 30mm; Bottom N/A </v>
      </c>
    </row>
    <row r="135" spans="2:8" x14ac:dyDescent="0.25">
      <c r="B135" t="str">
        <f>TEXT($B$3,0) &amp;" ----- "&amp;'Data - DA'!B146</f>
        <v>Frame: 51 ----- Stem: 100x30  ----- Aluminium Aerobar + 5 + 10</v>
      </c>
      <c r="C135">
        <f t="shared" si="29"/>
        <v>465</v>
      </c>
      <c r="D135">
        <f t="shared" si="27"/>
        <v>435</v>
      </c>
      <c r="E135">
        <f t="shared" si="28"/>
        <v>515</v>
      </c>
      <c r="F135">
        <f>$G$4+'Data - DA'!D146</f>
        <v>612</v>
      </c>
      <c r="G135">
        <f t="shared" si="13"/>
        <v>610</v>
      </c>
      <c r="H135" t="str">
        <f>'Data - DA'!G146</f>
        <v xml:space="preserve">Aerobar Bolts: Top 35mm; Bottom N/A </v>
      </c>
    </row>
    <row r="136" spans="2:8" x14ac:dyDescent="0.25">
      <c r="B136" t="str">
        <f>TEXT($B$3,0) &amp;" ----- "&amp;'Data - DA'!B147</f>
        <v>Frame: 51 ----- Stem: 100x30  ----- Aluminium Aerobar + 20</v>
      </c>
      <c r="C136">
        <f t="shared" si="29"/>
        <v>465</v>
      </c>
      <c r="D136">
        <f t="shared" si="27"/>
        <v>435</v>
      </c>
      <c r="E136">
        <f t="shared" si="28"/>
        <v>515</v>
      </c>
      <c r="F136">
        <f>$G$4+'Data - DA'!D147</f>
        <v>617</v>
      </c>
      <c r="G136">
        <f t="shared" si="13"/>
        <v>615</v>
      </c>
      <c r="H136" t="str">
        <f>'Data - DA'!G147</f>
        <v xml:space="preserve">Aerobar Bolts: Top 20mm; Bottom 15mm </v>
      </c>
    </row>
    <row r="137" spans="2:8" x14ac:dyDescent="0.25">
      <c r="B137" t="str">
        <f>TEXT($B$3,0) &amp;" ----- "&amp;'Data - DA'!B148</f>
        <v>Frame: 51 ----- Stem: 100x30  ----- Aluminium Aerobar + 20 + 5</v>
      </c>
      <c r="C137">
        <f t="shared" si="29"/>
        <v>465</v>
      </c>
      <c r="D137">
        <f t="shared" si="27"/>
        <v>435</v>
      </c>
      <c r="E137">
        <f t="shared" si="28"/>
        <v>515</v>
      </c>
      <c r="F137">
        <f>$G$4+'Data - DA'!D148</f>
        <v>622</v>
      </c>
      <c r="G137">
        <f t="shared" si="13"/>
        <v>620</v>
      </c>
      <c r="H137" t="str">
        <f>'Data - DA'!G148</f>
        <v xml:space="preserve">Aerobar Bolts: Top 25mm; Bottom 15mm </v>
      </c>
    </row>
    <row r="138" spans="2:8" x14ac:dyDescent="0.25">
      <c r="B138" t="str">
        <f>TEXT($B$3,0) &amp;" ----- "&amp;'Data - DA'!B149</f>
        <v>Frame: 51 ----- Stem: 100x30  ----- Aluminium Aerobar + 20 + bridge</v>
      </c>
      <c r="C138">
        <f t="shared" si="29"/>
        <v>465</v>
      </c>
      <c r="D138">
        <f t="shared" si="27"/>
        <v>435</v>
      </c>
      <c r="E138">
        <f t="shared" si="28"/>
        <v>515</v>
      </c>
      <c r="F138">
        <f>$G$4+'Data - DA'!D149</f>
        <v>622</v>
      </c>
      <c r="G138">
        <f t="shared" si="13"/>
        <v>620</v>
      </c>
      <c r="H138" t="str">
        <f>'Data - DA'!G149</f>
        <v xml:space="preserve">Aerobar Bolts: Top 25mm; Bottom 15mm </v>
      </c>
    </row>
    <row r="139" spans="2:8" x14ac:dyDescent="0.25">
      <c r="B139" t="str">
        <f>TEXT($B$3,0) &amp;" ----- "&amp;'Data - DA'!B150</f>
        <v>Frame: 51 ----- Stem: 100x30  ----- Aluminium Aerobar + 30</v>
      </c>
      <c r="C139">
        <f t="shared" si="29"/>
        <v>465</v>
      </c>
      <c r="D139">
        <f t="shared" si="27"/>
        <v>435</v>
      </c>
      <c r="E139">
        <f t="shared" si="28"/>
        <v>515</v>
      </c>
      <c r="F139">
        <f>$G$4+'Data - DA'!D150</f>
        <v>627</v>
      </c>
      <c r="G139">
        <f t="shared" si="13"/>
        <v>625</v>
      </c>
      <c r="H139" t="str">
        <f>'Data - DA'!G150</f>
        <v xml:space="preserve">Aerobar Bolts: Top 25mm; Bottom 15mm </v>
      </c>
    </row>
    <row r="140" spans="2:8" x14ac:dyDescent="0.25">
      <c r="B140" t="str">
        <f>TEXT($B$3,0) &amp;" ----- "&amp;'Data - DA'!B151</f>
        <v>Frame: 51 ----- Stem: 100x30  ----- Aluminium Aerobar + 20 + bridge + 5</v>
      </c>
      <c r="C140">
        <f t="shared" si="29"/>
        <v>465</v>
      </c>
      <c r="D140">
        <f t="shared" si="27"/>
        <v>435</v>
      </c>
      <c r="E140">
        <f t="shared" si="28"/>
        <v>515</v>
      </c>
      <c r="F140">
        <f>$G$4+'Data - DA'!D151</f>
        <v>627</v>
      </c>
      <c r="G140">
        <f t="shared" si="13"/>
        <v>625</v>
      </c>
      <c r="H140" t="str">
        <f>'Data - DA'!G151</f>
        <v xml:space="preserve">Aerobar Bolts: Top 25mm; Bottom 15mm </v>
      </c>
    </row>
    <row r="141" spans="2:8" x14ac:dyDescent="0.25">
      <c r="B141" t="str">
        <f>TEXT($B$3,0) &amp;" ----- "&amp;'Data - DA'!B152</f>
        <v>Frame: 51 ----- Stem: 100x30  ----- Aluminium Aerobar + 30 + bridge</v>
      </c>
      <c r="C141">
        <f t="shared" si="29"/>
        <v>465</v>
      </c>
      <c r="D141">
        <f t="shared" si="27"/>
        <v>435</v>
      </c>
      <c r="E141">
        <f t="shared" si="28"/>
        <v>515</v>
      </c>
      <c r="F141">
        <f>$G$4+'Data - DA'!D152</f>
        <v>632</v>
      </c>
      <c r="G141">
        <f t="shared" si="13"/>
        <v>630</v>
      </c>
      <c r="H141" t="str">
        <f>'Data - DA'!G152</f>
        <v xml:space="preserve">Aerobar Bolts: Top 30mm; Bottom 15mm </v>
      </c>
    </row>
    <row r="142" spans="2:8" x14ac:dyDescent="0.25">
      <c r="B142" t="str">
        <f>TEXT($B$3,0) &amp;" ----- "&amp;'Data - DA'!B153</f>
        <v>Frame: 51 ----- Stem: 100x30  ----- Aluminium Aerobar + 30 + bridge + 5</v>
      </c>
      <c r="C142">
        <f t="shared" si="29"/>
        <v>465</v>
      </c>
      <c r="D142">
        <f t="shared" si="27"/>
        <v>435</v>
      </c>
      <c r="E142">
        <f t="shared" si="28"/>
        <v>515</v>
      </c>
      <c r="F142">
        <f>$G$4+'Data - DA'!D153</f>
        <v>637</v>
      </c>
      <c r="G142">
        <f t="shared" si="13"/>
        <v>635</v>
      </c>
      <c r="H142" t="str">
        <f>'Data - DA'!G153</f>
        <v xml:space="preserve">Aerobar Bolts: Top 30mm; Bottom 15mm </v>
      </c>
    </row>
    <row r="143" spans="2:8" x14ac:dyDescent="0.25">
      <c r="B143" t="str">
        <f>TEXT($B$3,0) &amp;" ----- "&amp;'Data - DA'!B154</f>
        <v>Frame: 51 ----- Stem: 100x30  ----- Aluminium Aerobar + 40 + bridge</v>
      </c>
      <c r="C143">
        <f t="shared" si="29"/>
        <v>465</v>
      </c>
      <c r="D143">
        <f t="shared" si="27"/>
        <v>435</v>
      </c>
      <c r="E143">
        <f t="shared" si="28"/>
        <v>515</v>
      </c>
      <c r="F143">
        <f>$G$4+'Data - DA'!D154</f>
        <v>642</v>
      </c>
      <c r="G143">
        <f t="shared" si="13"/>
        <v>640</v>
      </c>
      <c r="H143" t="str">
        <f>'Data - DA'!G154</f>
        <v xml:space="preserve">Aerobar Bolts: Top 35mm; Bottom 15mm </v>
      </c>
    </row>
    <row r="144" spans="2:8" x14ac:dyDescent="0.25">
      <c r="B144" t="str">
        <f>TEXT($B$3,0) &amp;" ----- "&amp;'Data - DA'!B155</f>
        <v>Frame: 51 ----- Stem: 100x30  ----- Aluminium Aerobar + 40 + bridge + 5</v>
      </c>
      <c r="C144">
        <f t="shared" si="29"/>
        <v>465</v>
      </c>
      <c r="D144">
        <f t="shared" si="27"/>
        <v>435</v>
      </c>
      <c r="E144">
        <f t="shared" si="28"/>
        <v>515</v>
      </c>
      <c r="F144">
        <f>$G$4+'Data - DA'!D155</f>
        <v>647</v>
      </c>
      <c r="G144">
        <f t="shared" si="13"/>
        <v>645</v>
      </c>
      <c r="H144" t="str">
        <f>'Data - DA'!G155</f>
        <v xml:space="preserve">Aerobar Bolts: Top 35mm; Bottom 15mm </v>
      </c>
    </row>
    <row r="145" spans="2:8" x14ac:dyDescent="0.25">
      <c r="B145" t="str">
        <f>TEXT($B$3,0) &amp;" ----- "&amp;'Data - DA'!B156</f>
        <v>Frame: 51 ----- Stem: 100x30  ----- Aluminium Aerobar + 40 + bridge + 10</v>
      </c>
      <c r="C145">
        <f t="shared" si="29"/>
        <v>465</v>
      </c>
      <c r="D145">
        <f t="shared" si="27"/>
        <v>435</v>
      </c>
      <c r="E145">
        <f t="shared" si="28"/>
        <v>515</v>
      </c>
      <c r="F145">
        <f>$G$4+'Data - DA'!D156</f>
        <v>652</v>
      </c>
      <c r="G145">
        <f t="shared" si="13"/>
        <v>650</v>
      </c>
      <c r="H145" t="str">
        <f>'Data - DA'!G156</f>
        <v xml:space="preserve">Aerobar Bolts: Top 35mm; Bottom 15mm </v>
      </c>
    </row>
    <row r="146" spans="2:8" x14ac:dyDescent="0.25">
      <c r="B146" t="str">
        <f>TEXT($B$3,0) &amp;" ----- "&amp;'Data - DA'!B157</f>
        <v>Frame: 51 ----- Stem: 100x30  ----- Aluminium Aerobar + 40 + bridge + 10 + 5</v>
      </c>
      <c r="C146">
        <f t="shared" si="29"/>
        <v>465</v>
      </c>
      <c r="D146">
        <f t="shared" si="27"/>
        <v>435</v>
      </c>
      <c r="E146">
        <f t="shared" si="28"/>
        <v>515</v>
      </c>
      <c r="F146">
        <f>$G$4+'Data - DA'!D157</f>
        <v>657</v>
      </c>
      <c r="G146">
        <f t="shared" si="13"/>
        <v>655</v>
      </c>
      <c r="H146" t="str">
        <f>'Data - DA'!G157</f>
        <v xml:space="preserve">Aerobar Bolts: Top 35mm; Bottom 25mm </v>
      </c>
    </row>
    <row r="147" spans="2:8" x14ac:dyDescent="0.25">
      <c r="B147" t="str">
        <f>TEXT($B$3,0) &amp;" ----- "&amp;'Data - DA'!B158</f>
        <v>Frame: 51 ----- Stem: 100x60  ----- Aluminium Aerobar</v>
      </c>
      <c r="C147">
        <f>$N$8</f>
        <v>455</v>
      </c>
      <c r="D147">
        <f t="shared" ref="D147:D161" si="30">$N$9</f>
        <v>425</v>
      </c>
      <c r="E147">
        <f t="shared" ref="E147:E161" si="31">$N$10</f>
        <v>505</v>
      </c>
      <c r="F147">
        <f>$G$4+'Data - DA'!D158</f>
        <v>627</v>
      </c>
      <c r="G147">
        <f t="shared" si="13"/>
        <v>625</v>
      </c>
      <c r="H147" t="str">
        <f>'Data - DA'!G158</f>
        <v xml:space="preserve">Aerobar Bolts: Top 20mm; Bottom N/A </v>
      </c>
    </row>
    <row r="148" spans="2:8" x14ac:dyDescent="0.25">
      <c r="B148" t="str">
        <f>TEXT($B$3,0) &amp;" ----- "&amp;'Data - DA'!B159</f>
        <v>Frame: 51 ----- Stem: 100x60  ----- Aluminium Aerobar + 5</v>
      </c>
      <c r="C148">
        <f t="shared" ref="C148:C161" si="32">$N$8</f>
        <v>455</v>
      </c>
      <c r="D148">
        <f t="shared" si="30"/>
        <v>425</v>
      </c>
      <c r="E148">
        <f t="shared" si="31"/>
        <v>505</v>
      </c>
      <c r="F148">
        <f>$G$4+'Data - DA'!D159</f>
        <v>632</v>
      </c>
      <c r="G148">
        <f t="shared" si="13"/>
        <v>630</v>
      </c>
      <c r="H148" t="str">
        <f>'Data - DA'!G159</f>
        <v xml:space="preserve">Aerobar Bolts: Top 25mm; Bottom N/A </v>
      </c>
    </row>
    <row r="149" spans="2:8" x14ac:dyDescent="0.25">
      <c r="B149" t="str">
        <f>TEXT($B$3,0) &amp;" ----- "&amp;'Data - DA'!B160</f>
        <v>Frame: 51 ----- Stem: 100x60  ----- Aluminium Aerobar + 10</v>
      </c>
      <c r="C149">
        <f t="shared" si="32"/>
        <v>455</v>
      </c>
      <c r="D149">
        <f t="shared" si="30"/>
        <v>425</v>
      </c>
      <c r="E149">
        <f t="shared" si="31"/>
        <v>505</v>
      </c>
      <c r="F149">
        <f>$G$4+'Data - DA'!D160</f>
        <v>637</v>
      </c>
      <c r="G149">
        <f t="shared" si="13"/>
        <v>635</v>
      </c>
      <c r="H149" t="str">
        <f>'Data - DA'!G160</f>
        <v xml:space="preserve">Aerobar Bolts: Top 30mm; Bottom N/A </v>
      </c>
    </row>
    <row r="150" spans="2:8" x14ac:dyDescent="0.25">
      <c r="B150" t="str">
        <f>TEXT($B$3,0) &amp;" ----- "&amp;'Data - DA'!B161</f>
        <v>Frame: 51 ----- Stem: 100x60  ----- Aluminium Aerobar + 5 + 10</v>
      </c>
      <c r="C150">
        <f t="shared" si="32"/>
        <v>455</v>
      </c>
      <c r="D150">
        <f t="shared" si="30"/>
        <v>425</v>
      </c>
      <c r="E150">
        <f t="shared" si="31"/>
        <v>505</v>
      </c>
      <c r="F150">
        <f>$G$4+'Data - DA'!D161</f>
        <v>642</v>
      </c>
      <c r="G150">
        <f t="shared" si="13"/>
        <v>640</v>
      </c>
      <c r="H150" t="str">
        <f>'Data - DA'!G161</f>
        <v xml:space="preserve">Aerobar Bolts: Top 35mm; Bottom N/A </v>
      </c>
    </row>
    <row r="151" spans="2:8" x14ac:dyDescent="0.25">
      <c r="B151" t="str">
        <f>TEXT($B$3,0) &amp;" ----- "&amp;'Data - DA'!B162</f>
        <v>Frame: 51 ----- Stem: 100x60  ----- Aluminium Aerobar + 20</v>
      </c>
      <c r="C151">
        <f t="shared" si="32"/>
        <v>455</v>
      </c>
      <c r="D151">
        <f t="shared" si="30"/>
        <v>425</v>
      </c>
      <c r="E151">
        <f t="shared" si="31"/>
        <v>505</v>
      </c>
      <c r="F151">
        <f>$G$4+'Data - DA'!D162</f>
        <v>647</v>
      </c>
      <c r="G151">
        <f t="shared" si="13"/>
        <v>645</v>
      </c>
      <c r="H151" t="str">
        <f>'Data - DA'!G162</f>
        <v xml:space="preserve">Aerobar Bolts: Top 20mm; Bottom 15mm </v>
      </c>
    </row>
    <row r="152" spans="2:8" x14ac:dyDescent="0.25">
      <c r="B152" t="str">
        <f>TEXT($B$3,0) &amp;" ----- "&amp;'Data - DA'!B163</f>
        <v>Frame: 51 ----- Stem: 100x60  ----- Aluminium Aerobar + 20 + 5</v>
      </c>
      <c r="C152">
        <f t="shared" si="32"/>
        <v>455</v>
      </c>
      <c r="D152">
        <f t="shared" si="30"/>
        <v>425</v>
      </c>
      <c r="E152">
        <f t="shared" si="31"/>
        <v>505</v>
      </c>
      <c r="F152">
        <f>$G$4+'Data - DA'!D163</f>
        <v>652</v>
      </c>
      <c r="G152">
        <f t="shared" ref="G152:G161" si="33">ROUND(F152/5,0)*5</f>
        <v>650</v>
      </c>
      <c r="H152" t="str">
        <f>'Data - DA'!G163</f>
        <v xml:space="preserve">Aerobar Bolts: Top 25mm; Bottom 15mm </v>
      </c>
    </row>
    <row r="153" spans="2:8" x14ac:dyDescent="0.25">
      <c r="B153" t="str">
        <f>TEXT($B$3,0) &amp;" ----- "&amp;'Data - DA'!B164</f>
        <v>Frame: 51 ----- Stem: 100x60  ----- Aluminium Aerobar + 20 + bridge</v>
      </c>
      <c r="C153">
        <f t="shared" si="32"/>
        <v>455</v>
      </c>
      <c r="D153">
        <f t="shared" si="30"/>
        <v>425</v>
      </c>
      <c r="E153">
        <f t="shared" si="31"/>
        <v>505</v>
      </c>
      <c r="F153">
        <f>$G$4+'Data - DA'!D164</f>
        <v>652</v>
      </c>
      <c r="G153">
        <f t="shared" si="33"/>
        <v>650</v>
      </c>
      <c r="H153" t="str">
        <f>'Data - DA'!G164</f>
        <v xml:space="preserve">Aerobar Bolts: Top 25mm; Bottom 15mm </v>
      </c>
    </row>
    <row r="154" spans="2:8" x14ac:dyDescent="0.25">
      <c r="B154" t="str">
        <f>TEXT($B$3,0) &amp;" ----- "&amp;'Data - DA'!B165</f>
        <v>Frame: 51 ----- Stem: 100x60  ----- Aluminium Aerobar + 30</v>
      </c>
      <c r="C154">
        <f t="shared" si="32"/>
        <v>455</v>
      </c>
      <c r="D154">
        <f t="shared" si="30"/>
        <v>425</v>
      </c>
      <c r="E154">
        <f t="shared" si="31"/>
        <v>505</v>
      </c>
      <c r="F154">
        <f>$G$4+'Data - DA'!D165</f>
        <v>657</v>
      </c>
      <c r="G154">
        <f t="shared" si="33"/>
        <v>655</v>
      </c>
      <c r="H154" t="str">
        <f>'Data - DA'!G165</f>
        <v xml:space="preserve">Aerobar Bolts: Top 25mm; Bottom 15mm </v>
      </c>
    </row>
    <row r="155" spans="2:8" x14ac:dyDescent="0.25">
      <c r="B155" t="str">
        <f>TEXT($B$3,0) &amp;" ----- "&amp;'Data - DA'!B166</f>
        <v>Frame: 51 ----- Stem: 100x60  ----- Aluminium Aerobar + 20 + bridge + 5</v>
      </c>
      <c r="C155">
        <f t="shared" si="32"/>
        <v>455</v>
      </c>
      <c r="D155">
        <f t="shared" si="30"/>
        <v>425</v>
      </c>
      <c r="E155">
        <f t="shared" si="31"/>
        <v>505</v>
      </c>
      <c r="F155">
        <f>$G$4+'Data - DA'!D166</f>
        <v>657</v>
      </c>
      <c r="G155">
        <f t="shared" si="33"/>
        <v>655</v>
      </c>
      <c r="H155" t="str">
        <f>'Data - DA'!G166</f>
        <v xml:space="preserve">Aerobar Bolts: Top 25mm; Bottom 15mm </v>
      </c>
    </row>
    <row r="156" spans="2:8" x14ac:dyDescent="0.25">
      <c r="B156" t="str">
        <f>TEXT($B$3,0) &amp;" ----- "&amp;'Data - DA'!B167</f>
        <v>Frame: 51 ----- Stem: 100x60  ----- Aluminium Aerobar + 30 + bridge</v>
      </c>
      <c r="C156">
        <f t="shared" si="32"/>
        <v>455</v>
      </c>
      <c r="D156">
        <f t="shared" si="30"/>
        <v>425</v>
      </c>
      <c r="E156">
        <f t="shared" si="31"/>
        <v>505</v>
      </c>
      <c r="F156">
        <f>$G$4+'Data - DA'!D167</f>
        <v>662</v>
      </c>
      <c r="G156">
        <f t="shared" si="33"/>
        <v>660</v>
      </c>
      <c r="H156" t="str">
        <f>'Data - DA'!G167</f>
        <v xml:space="preserve">Aerobar Bolts: Top 30mm; Bottom 15mm </v>
      </c>
    </row>
    <row r="157" spans="2:8" x14ac:dyDescent="0.25">
      <c r="B157" t="str">
        <f>TEXT($B$3,0) &amp;" ----- "&amp;'Data - DA'!B168</f>
        <v>Frame: 51 ----- Stem: 100x60  ----- Aluminium Aerobar + 30 + bridge + 5</v>
      </c>
      <c r="C157">
        <f t="shared" si="32"/>
        <v>455</v>
      </c>
      <c r="D157">
        <f t="shared" si="30"/>
        <v>425</v>
      </c>
      <c r="E157">
        <f t="shared" si="31"/>
        <v>505</v>
      </c>
      <c r="F157">
        <f>$G$4+'Data - DA'!D168</f>
        <v>667</v>
      </c>
      <c r="G157">
        <f t="shared" si="33"/>
        <v>665</v>
      </c>
      <c r="H157" t="str">
        <f>'Data - DA'!G168</f>
        <v xml:space="preserve">Aerobar Bolts: Top 30mm; Bottom 15mm </v>
      </c>
    </row>
    <row r="158" spans="2:8" x14ac:dyDescent="0.25">
      <c r="B158" t="str">
        <f>TEXT($B$3,0) &amp;" ----- "&amp;'Data - DA'!B169</f>
        <v>Frame: 51 ----- Stem: 100x60  ----- Aluminium Aerobar + 40 + bridge</v>
      </c>
      <c r="C158">
        <f t="shared" si="32"/>
        <v>455</v>
      </c>
      <c r="D158">
        <f t="shared" si="30"/>
        <v>425</v>
      </c>
      <c r="E158">
        <f t="shared" si="31"/>
        <v>505</v>
      </c>
      <c r="F158">
        <f>$G$4+'Data - DA'!D169</f>
        <v>672</v>
      </c>
      <c r="G158">
        <f t="shared" si="33"/>
        <v>670</v>
      </c>
      <c r="H158" t="str">
        <f>'Data - DA'!G169</f>
        <v xml:space="preserve">Aerobar Bolts: Top 35mm; Bottom 15mm </v>
      </c>
    </row>
    <row r="159" spans="2:8" x14ac:dyDescent="0.25">
      <c r="B159" t="str">
        <f>TEXT($B$3,0) &amp;" ----- "&amp;'Data - DA'!B170</f>
        <v>Frame: 51 ----- Stem: 100x60  ----- Aluminium Aerobar + 40 + bridge + 5</v>
      </c>
      <c r="C159">
        <f t="shared" si="32"/>
        <v>455</v>
      </c>
      <c r="D159">
        <f t="shared" si="30"/>
        <v>425</v>
      </c>
      <c r="E159">
        <f t="shared" si="31"/>
        <v>505</v>
      </c>
      <c r="F159">
        <f>$G$4+'Data - DA'!D170</f>
        <v>677</v>
      </c>
      <c r="G159">
        <f t="shared" si="33"/>
        <v>675</v>
      </c>
      <c r="H159" t="str">
        <f>'Data - DA'!G170</f>
        <v xml:space="preserve">Aerobar Bolts: Top 35mm; Bottom 15mm </v>
      </c>
    </row>
    <row r="160" spans="2:8" x14ac:dyDescent="0.25">
      <c r="B160" t="str">
        <f>TEXT($B$3,0) &amp;" ----- "&amp;'Data - DA'!B171</f>
        <v>Frame: 51 ----- Stem: 100x60  ----- Aluminium Aerobar + 40 + bridge + 10</v>
      </c>
      <c r="C160">
        <f t="shared" si="32"/>
        <v>455</v>
      </c>
      <c r="D160">
        <f t="shared" si="30"/>
        <v>425</v>
      </c>
      <c r="E160">
        <f t="shared" si="31"/>
        <v>505</v>
      </c>
      <c r="F160">
        <f>$G$4+'Data - DA'!D171</f>
        <v>682</v>
      </c>
      <c r="G160">
        <f t="shared" si="33"/>
        <v>680</v>
      </c>
      <c r="H160" t="str">
        <f>'Data - DA'!G171</f>
        <v xml:space="preserve">Aerobar Bolts: Top 35mm; Bottom 15mm </v>
      </c>
    </row>
    <row r="161" spans="2:8" x14ac:dyDescent="0.25">
      <c r="B161" t="str">
        <f>TEXT($B$3,0) &amp;" ----- "&amp;'Data - DA'!B172</f>
        <v>Frame: 51 ----- Stem: 100x60  ----- Aluminium Aerobar + 40 + bridge + 10 + 5</v>
      </c>
      <c r="C161">
        <f t="shared" si="32"/>
        <v>455</v>
      </c>
      <c r="D161">
        <f t="shared" si="30"/>
        <v>425</v>
      </c>
      <c r="E161">
        <f t="shared" si="31"/>
        <v>505</v>
      </c>
      <c r="F161">
        <f>$G$4+'Data - DA'!D172</f>
        <v>687</v>
      </c>
      <c r="G161">
        <f t="shared" si="33"/>
        <v>685</v>
      </c>
      <c r="H161" t="str">
        <f>'Data - DA'!G172</f>
        <v xml:space="preserve">Aerobar Bolts: Top 35mm; Bottom 25mm </v>
      </c>
    </row>
    <row r="162" spans="2:8" x14ac:dyDescent="0.25">
      <c r="B162" t="str">
        <f>TEXT($B$3,0) &amp;" ----- "&amp;'Data - DA'!B173</f>
        <v>Frame: 51 ----- Stem: 90x0  ----- Aluminium Aerobar</v>
      </c>
      <c r="C162">
        <f>$O$8</f>
        <v>460</v>
      </c>
      <c r="D162">
        <f t="shared" ref="D162:D176" si="34">$O$9</f>
        <v>430</v>
      </c>
      <c r="E162">
        <f t="shared" ref="E162:E176" si="35">$O$10</f>
        <v>510</v>
      </c>
      <c r="F162">
        <f>$G$4+'Data - DA'!D173</f>
        <v>565</v>
      </c>
      <c r="G162">
        <f t="shared" ref="G162:G191" si="36">ROUND(F162/5,0)*5</f>
        <v>565</v>
      </c>
      <c r="H162" t="str">
        <f>'Data - DA'!G173</f>
        <v xml:space="preserve">Aerobar Bolts: Top 20mm; Bottom N/A </v>
      </c>
    </row>
    <row r="163" spans="2:8" x14ac:dyDescent="0.25">
      <c r="B163" t="str">
        <f>TEXT($B$3,0) &amp;" ----- "&amp;'Data - DA'!B174</f>
        <v>Frame: 51 ----- Stem: 90x0  ----- Aluminium Aerobar + 5</v>
      </c>
      <c r="C163">
        <f t="shared" ref="C163:C176" si="37">$O$8</f>
        <v>460</v>
      </c>
      <c r="D163">
        <f t="shared" si="34"/>
        <v>430</v>
      </c>
      <c r="E163">
        <f t="shared" si="35"/>
        <v>510</v>
      </c>
      <c r="F163">
        <f>$G$4+'Data - DA'!D174</f>
        <v>570</v>
      </c>
      <c r="G163">
        <f t="shared" si="36"/>
        <v>570</v>
      </c>
      <c r="H163" t="str">
        <f>'Data - DA'!G174</f>
        <v xml:space="preserve">Aerobar Bolts: Top 25mm; Bottom N/A </v>
      </c>
    </row>
    <row r="164" spans="2:8" x14ac:dyDescent="0.25">
      <c r="B164" t="str">
        <f>TEXT($B$3,0) &amp;" ----- "&amp;'Data - DA'!B175</f>
        <v>Frame: 51 ----- Stem: 90x0  ----- Aluminium Aerobar + 10</v>
      </c>
      <c r="C164">
        <f t="shared" si="37"/>
        <v>460</v>
      </c>
      <c r="D164">
        <f t="shared" si="34"/>
        <v>430</v>
      </c>
      <c r="E164">
        <f t="shared" si="35"/>
        <v>510</v>
      </c>
      <c r="F164">
        <f>$G$4+'Data - DA'!D175</f>
        <v>575</v>
      </c>
      <c r="G164">
        <f t="shared" si="36"/>
        <v>575</v>
      </c>
      <c r="H164" t="str">
        <f>'Data - DA'!G175</f>
        <v xml:space="preserve">Aerobar Bolts: Top 30mm; Bottom N/A </v>
      </c>
    </row>
    <row r="165" spans="2:8" x14ac:dyDescent="0.25">
      <c r="B165" t="str">
        <f>TEXT($B$3,0) &amp;" ----- "&amp;'Data - DA'!B176</f>
        <v>Frame: 51 ----- Stem: 90x0  ----- Aluminium Aerobar + 5 + 10</v>
      </c>
      <c r="C165">
        <f t="shared" si="37"/>
        <v>460</v>
      </c>
      <c r="D165">
        <f t="shared" si="34"/>
        <v>430</v>
      </c>
      <c r="E165">
        <f t="shared" si="35"/>
        <v>510</v>
      </c>
      <c r="F165">
        <f>$G$4+'Data - DA'!D176</f>
        <v>580</v>
      </c>
      <c r="G165">
        <f t="shared" si="36"/>
        <v>580</v>
      </c>
      <c r="H165" t="str">
        <f>'Data - DA'!G176</f>
        <v xml:space="preserve">Aerobar Bolts: Top 35mm; Bottom N/A </v>
      </c>
    </row>
    <row r="166" spans="2:8" x14ac:dyDescent="0.25">
      <c r="B166" t="str">
        <f>TEXT($B$3,0) &amp;" ----- "&amp;'Data - DA'!B177</f>
        <v>Frame: 51 ----- Stem: 90x0  ----- Aluminium Aerobar + 20</v>
      </c>
      <c r="C166">
        <f t="shared" si="37"/>
        <v>460</v>
      </c>
      <c r="D166">
        <f t="shared" si="34"/>
        <v>430</v>
      </c>
      <c r="E166">
        <f t="shared" si="35"/>
        <v>510</v>
      </c>
      <c r="F166">
        <f>$G$4+'Data - DA'!D177</f>
        <v>585</v>
      </c>
      <c r="G166">
        <f t="shared" si="36"/>
        <v>585</v>
      </c>
      <c r="H166" t="str">
        <f>'Data - DA'!G177</f>
        <v xml:space="preserve">Aerobar Bolts: Top 20mm; Bottom 15mm </v>
      </c>
    </row>
    <row r="167" spans="2:8" x14ac:dyDescent="0.25">
      <c r="B167" t="str">
        <f>TEXT($B$3,0) &amp;" ----- "&amp;'Data - DA'!B178</f>
        <v>Frame: 51 ----- Stem: 90x0  ----- Aluminium Aerobar + 20 + 5</v>
      </c>
      <c r="C167">
        <f t="shared" si="37"/>
        <v>460</v>
      </c>
      <c r="D167">
        <f t="shared" si="34"/>
        <v>430</v>
      </c>
      <c r="E167">
        <f t="shared" si="35"/>
        <v>510</v>
      </c>
      <c r="F167">
        <f>$G$4+'Data - DA'!D178</f>
        <v>590</v>
      </c>
      <c r="G167">
        <f t="shared" si="36"/>
        <v>590</v>
      </c>
      <c r="H167" t="str">
        <f>'Data - DA'!G178</f>
        <v xml:space="preserve">Aerobar Bolts: Top 25mm; Bottom 15mm </v>
      </c>
    </row>
    <row r="168" spans="2:8" x14ac:dyDescent="0.25">
      <c r="B168" t="str">
        <f>TEXT($B$3,0) &amp;" ----- "&amp;'Data - DA'!B179</f>
        <v>Frame: 51 ----- Stem: 90x0  ----- Aluminium Aerobar + 20 + bridge</v>
      </c>
      <c r="C168">
        <f t="shared" si="37"/>
        <v>460</v>
      </c>
      <c r="D168">
        <f t="shared" si="34"/>
        <v>430</v>
      </c>
      <c r="E168">
        <f t="shared" si="35"/>
        <v>510</v>
      </c>
      <c r="F168">
        <f>$G$4+'Data - DA'!D179</f>
        <v>590</v>
      </c>
      <c r="G168">
        <f t="shared" si="36"/>
        <v>590</v>
      </c>
      <c r="H168" t="str">
        <f>'Data - DA'!G179</f>
        <v xml:space="preserve">Aerobar Bolts: Top 25mm; Bottom 15mm </v>
      </c>
    </row>
    <row r="169" spans="2:8" x14ac:dyDescent="0.25">
      <c r="B169" t="str">
        <f>TEXT($B$3,0) &amp;" ----- "&amp;'Data - DA'!B180</f>
        <v>Frame: 51 ----- Stem: 90x0  ----- Aluminium Aerobar + 30</v>
      </c>
      <c r="C169">
        <f t="shared" si="37"/>
        <v>460</v>
      </c>
      <c r="D169">
        <f t="shared" si="34"/>
        <v>430</v>
      </c>
      <c r="E169">
        <f t="shared" si="35"/>
        <v>510</v>
      </c>
      <c r="F169">
        <f>$G$4+'Data - DA'!D180</f>
        <v>595</v>
      </c>
      <c r="G169">
        <f t="shared" si="36"/>
        <v>595</v>
      </c>
      <c r="H169" t="str">
        <f>'Data - DA'!G180</f>
        <v xml:space="preserve">Aerobar Bolts: Top 25mm; Bottom 15mm </v>
      </c>
    </row>
    <row r="170" spans="2:8" x14ac:dyDescent="0.25">
      <c r="B170" t="str">
        <f>TEXT($B$3,0) &amp;" ----- "&amp;'Data - DA'!B181</f>
        <v>Frame: 51 ----- Stem: 90x0  ----- Aluminium Aerobar + 20 + bridge + 5</v>
      </c>
      <c r="C170">
        <f t="shared" si="37"/>
        <v>460</v>
      </c>
      <c r="D170">
        <f t="shared" si="34"/>
        <v>430</v>
      </c>
      <c r="E170">
        <f t="shared" si="35"/>
        <v>510</v>
      </c>
      <c r="F170">
        <f>$G$4+'Data - DA'!D181</f>
        <v>595</v>
      </c>
      <c r="G170">
        <f t="shared" si="36"/>
        <v>595</v>
      </c>
      <c r="H170" t="str">
        <f>'Data - DA'!G181</f>
        <v xml:space="preserve">Aerobar Bolts: Top 25mm; Bottom 15mm </v>
      </c>
    </row>
    <row r="171" spans="2:8" x14ac:dyDescent="0.25">
      <c r="B171" t="str">
        <f>TEXT($B$3,0) &amp;" ----- "&amp;'Data - DA'!B182</f>
        <v>Frame: 51 ----- Stem: 90x0  ----- Aluminium Aerobar + 30 + bridge</v>
      </c>
      <c r="C171">
        <f t="shared" si="37"/>
        <v>460</v>
      </c>
      <c r="D171">
        <f t="shared" si="34"/>
        <v>430</v>
      </c>
      <c r="E171">
        <f t="shared" si="35"/>
        <v>510</v>
      </c>
      <c r="F171">
        <f>$G$4+'Data - DA'!D182</f>
        <v>600</v>
      </c>
      <c r="G171">
        <f t="shared" si="36"/>
        <v>600</v>
      </c>
      <c r="H171" t="str">
        <f>'Data - DA'!G182</f>
        <v xml:space="preserve">Aerobar Bolts: Top 30mm; Bottom 15mm </v>
      </c>
    </row>
    <row r="172" spans="2:8" x14ac:dyDescent="0.25">
      <c r="B172" t="str">
        <f>TEXT($B$3,0) &amp;" ----- "&amp;'Data - DA'!B183</f>
        <v>Frame: 51 ----- Stem: 90x0  ----- Aluminium Aerobar + 30 + bridge + 5</v>
      </c>
      <c r="C172">
        <f t="shared" si="37"/>
        <v>460</v>
      </c>
      <c r="D172">
        <f t="shared" si="34"/>
        <v>430</v>
      </c>
      <c r="E172">
        <f t="shared" si="35"/>
        <v>510</v>
      </c>
      <c r="F172">
        <f>$G$4+'Data - DA'!D183</f>
        <v>605</v>
      </c>
      <c r="G172">
        <f t="shared" si="36"/>
        <v>605</v>
      </c>
      <c r="H172" t="str">
        <f>'Data - DA'!G183</f>
        <v xml:space="preserve">Aerobar Bolts: Top 30mm; Bottom 15mm </v>
      </c>
    </row>
    <row r="173" spans="2:8" x14ac:dyDescent="0.25">
      <c r="B173" t="str">
        <f>TEXT($B$3,0) &amp;" ----- "&amp;'Data - DA'!B184</f>
        <v>Frame: 51 ----- Stem: 90x0  ----- Aluminium Aerobar + 40 + bridge</v>
      </c>
      <c r="C173">
        <f t="shared" si="37"/>
        <v>460</v>
      </c>
      <c r="D173">
        <f t="shared" si="34"/>
        <v>430</v>
      </c>
      <c r="E173">
        <f t="shared" si="35"/>
        <v>510</v>
      </c>
      <c r="F173">
        <f>$G$4+'Data - DA'!D184</f>
        <v>610</v>
      </c>
      <c r="G173">
        <f t="shared" si="36"/>
        <v>610</v>
      </c>
      <c r="H173" t="str">
        <f>'Data - DA'!G184</f>
        <v xml:space="preserve">Aerobar Bolts: Top 35mm; Bottom 15mm </v>
      </c>
    </row>
    <row r="174" spans="2:8" x14ac:dyDescent="0.25">
      <c r="B174" t="str">
        <f>TEXT($B$3,0) &amp;" ----- "&amp;'Data - DA'!B185</f>
        <v>Frame: 51 ----- Stem: 90x0  ----- Aluminium Aerobar + 40 + bridge + 5</v>
      </c>
      <c r="C174">
        <f t="shared" si="37"/>
        <v>460</v>
      </c>
      <c r="D174">
        <f t="shared" si="34"/>
        <v>430</v>
      </c>
      <c r="E174">
        <f t="shared" si="35"/>
        <v>510</v>
      </c>
      <c r="F174">
        <f>$G$4+'Data - DA'!D185</f>
        <v>615</v>
      </c>
      <c r="G174">
        <f t="shared" si="36"/>
        <v>615</v>
      </c>
      <c r="H174" t="str">
        <f>'Data - DA'!G185</f>
        <v xml:space="preserve">Aerobar Bolts: Top 35mm; Bottom 15mm </v>
      </c>
    </row>
    <row r="175" spans="2:8" x14ac:dyDescent="0.25">
      <c r="B175" t="str">
        <f>TEXT($B$3,0) &amp;" ----- "&amp;'Data - DA'!B186</f>
        <v>Frame: 51 ----- Stem: 90x0  ----- Aluminium Aerobar + 40 + bridge + 10</v>
      </c>
      <c r="C175">
        <f t="shared" si="37"/>
        <v>460</v>
      </c>
      <c r="D175">
        <f t="shared" si="34"/>
        <v>430</v>
      </c>
      <c r="E175">
        <f t="shared" si="35"/>
        <v>510</v>
      </c>
      <c r="F175">
        <f>$G$4+'Data - DA'!D186</f>
        <v>620</v>
      </c>
      <c r="G175">
        <f t="shared" si="36"/>
        <v>620</v>
      </c>
      <c r="H175" t="str">
        <f>'Data - DA'!G186</f>
        <v xml:space="preserve">Aerobar Bolts: Top 35mm; Bottom 15mm </v>
      </c>
    </row>
    <row r="176" spans="2:8" x14ac:dyDescent="0.25">
      <c r="B176" t="str">
        <f>TEXT($B$3,0) &amp;" ----- "&amp;'Data - DA'!B187</f>
        <v>Frame: 51 ----- Stem: 90x0  ----- Aluminium Aerobar + 40 + bridge + 10 + 5</v>
      </c>
      <c r="C176">
        <f t="shared" si="37"/>
        <v>460</v>
      </c>
      <c r="D176">
        <f t="shared" si="34"/>
        <v>430</v>
      </c>
      <c r="E176">
        <f t="shared" si="35"/>
        <v>510</v>
      </c>
      <c r="F176">
        <f>$G$4+'Data - DA'!D187</f>
        <v>625</v>
      </c>
      <c r="G176">
        <f t="shared" si="36"/>
        <v>625</v>
      </c>
      <c r="H176" t="str">
        <f>'Data - DA'!G187</f>
        <v xml:space="preserve">Aerobar Bolts: Top 35mm; Bottom 25mm </v>
      </c>
    </row>
    <row r="177" spans="2:8" x14ac:dyDescent="0.25">
      <c r="B177" t="str">
        <f>TEXT($B$3,0) &amp;" ----- "&amp;'Data - DA'!B188</f>
        <v>Frame: 51 ----- Stem: 110x0  ----- Aluminium Aerobar</v>
      </c>
      <c r="C177">
        <f>$P$8</f>
        <v>480</v>
      </c>
      <c r="D177">
        <f t="shared" ref="D177:D191" si="38">$P$9</f>
        <v>450</v>
      </c>
      <c r="E177">
        <f t="shared" ref="E177:E191" si="39">$P$10</f>
        <v>530</v>
      </c>
      <c r="F177">
        <f>$G$4+'Data - DA'!D188</f>
        <v>565</v>
      </c>
      <c r="G177">
        <f t="shared" si="36"/>
        <v>565</v>
      </c>
      <c r="H177" t="str">
        <f>'Data - DA'!G188</f>
        <v xml:space="preserve">Aerobar Bolts: Top 20mm; Bottom N/A </v>
      </c>
    </row>
    <row r="178" spans="2:8" x14ac:dyDescent="0.25">
      <c r="B178" t="str">
        <f>TEXT($B$3,0) &amp;" ----- "&amp;'Data - DA'!B189</f>
        <v>Frame: 51 ----- Stem: 110x0  ----- Aluminium Aerobar + 5</v>
      </c>
      <c r="C178">
        <f t="shared" ref="C178:C191" si="40">$P$8</f>
        <v>480</v>
      </c>
      <c r="D178">
        <f t="shared" si="38"/>
        <v>450</v>
      </c>
      <c r="E178">
        <f t="shared" si="39"/>
        <v>530</v>
      </c>
      <c r="F178">
        <f>$G$4+'Data - DA'!D189</f>
        <v>570</v>
      </c>
      <c r="G178">
        <f t="shared" si="36"/>
        <v>570</v>
      </c>
      <c r="H178" t="str">
        <f>'Data - DA'!G189</f>
        <v xml:space="preserve">Aerobar Bolts: Top 25mm; Bottom N/A </v>
      </c>
    </row>
    <row r="179" spans="2:8" x14ac:dyDescent="0.25">
      <c r="B179" t="str">
        <f>TEXT($B$3,0) &amp;" ----- "&amp;'Data - DA'!B190</f>
        <v>Frame: 51 ----- Stem: 110x0  ----- Aluminium Aerobar + 10</v>
      </c>
      <c r="C179">
        <f t="shared" si="40"/>
        <v>480</v>
      </c>
      <c r="D179">
        <f t="shared" si="38"/>
        <v>450</v>
      </c>
      <c r="E179">
        <f t="shared" si="39"/>
        <v>530</v>
      </c>
      <c r="F179">
        <f>$G$4+'Data - DA'!D190</f>
        <v>575</v>
      </c>
      <c r="G179">
        <f t="shared" si="36"/>
        <v>575</v>
      </c>
      <c r="H179" t="str">
        <f>'Data - DA'!G190</f>
        <v xml:space="preserve">Aerobar Bolts: Top 30mm; Bottom N/A </v>
      </c>
    </row>
    <row r="180" spans="2:8" x14ac:dyDescent="0.25">
      <c r="B180" t="str">
        <f>TEXT($B$3,0) &amp;" ----- "&amp;'Data - DA'!B191</f>
        <v>Frame: 51 ----- Stem: 110x0  ----- Aluminium Aerobar + 5 + 10</v>
      </c>
      <c r="C180">
        <f t="shared" si="40"/>
        <v>480</v>
      </c>
      <c r="D180">
        <f t="shared" si="38"/>
        <v>450</v>
      </c>
      <c r="E180">
        <f t="shared" si="39"/>
        <v>530</v>
      </c>
      <c r="F180">
        <f>$G$4+'Data - DA'!D191</f>
        <v>581</v>
      </c>
      <c r="G180">
        <f t="shared" si="36"/>
        <v>580</v>
      </c>
      <c r="H180" t="str">
        <f>'Data - DA'!G191</f>
        <v xml:space="preserve">Aerobar Bolts: Top 35mm; Bottom N/A </v>
      </c>
    </row>
    <row r="181" spans="2:8" x14ac:dyDescent="0.25">
      <c r="B181" t="str">
        <f>TEXT($B$3,0) &amp;" ----- "&amp;'Data - DA'!B192</f>
        <v>Frame: 51 ----- Stem: 110x0  ----- Aluminium Aerobar + 20</v>
      </c>
      <c r="C181">
        <f t="shared" si="40"/>
        <v>480</v>
      </c>
      <c r="D181">
        <f t="shared" si="38"/>
        <v>450</v>
      </c>
      <c r="E181">
        <f t="shared" si="39"/>
        <v>530</v>
      </c>
      <c r="F181">
        <f>$G$4+'Data - DA'!D192</f>
        <v>585</v>
      </c>
      <c r="G181">
        <f t="shared" si="36"/>
        <v>585</v>
      </c>
      <c r="H181" t="str">
        <f>'Data - DA'!G192</f>
        <v xml:space="preserve">Aerobar Bolts: Top 20mm; Bottom 15mm </v>
      </c>
    </row>
    <row r="182" spans="2:8" x14ac:dyDescent="0.25">
      <c r="B182" t="str">
        <f>TEXT($B$3,0) &amp;" ----- "&amp;'Data - DA'!B193</f>
        <v>Frame: 51 ----- Stem: 110x0  ----- Aluminium Aerobar + 20 + 5</v>
      </c>
      <c r="C182">
        <f t="shared" si="40"/>
        <v>480</v>
      </c>
      <c r="D182">
        <f t="shared" si="38"/>
        <v>450</v>
      </c>
      <c r="E182">
        <f t="shared" si="39"/>
        <v>530</v>
      </c>
      <c r="F182">
        <f>$G$4+'Data - DA'!D193</f>
        <v>590</v>
      </c>
      <c r="G182">
        <f t="shared" si="36"/>
        <v>590</v>
      </c>
      <c r="H182" t="str">
        <f>'Data - DA'!G193</f>
        <v xml:space="preserve">Aerobar Bolts: Top 25mm; Bottom 15mm </v>
      </c>
    </row>
    <row r="183" spans="2:8" x14ac:dyDescent="0.25">
      <c r="B183" t="str">
        <f>TEXT($B$3,0) &amp;" ----- "&amp;'Data - DA'!B194</f>
        <v>Frame: 51 ----- Stem: 110x0  ----- Aluminium Aerobar + 20 + bridge</v>
      </c>
      <c r="C183">
        <f t="shared" si="40"/>
        <v>480</v>
      </c>
      <c r="D183">
        <f t="shared" si="38"/>
        <v>450</v>
      </c>
      <c r="E183">
        <f t="shared" si="39"/>
        <v>530</v>
      </c>
      <c r="F183">
        <f>$G$4+'Data - DA'!D194</f>
        <v>590</v>
      </c>
      <c r="G183">
        <f t="shared" si="36"/>
        <v>590</v>
      </c>
      <c r="H183" t="str">
        <f>'Data - DA'!G194</f>
        <v xml:space="preserve">Aerobar Bolts: Top 25mm; Bottom 15mm </v>
      </c>
    </row>
    <row r="184" spans="2:8" x14ac:dyDescent="0.25">
      <c r="B184" t="str">
        <f>TEXT($B$3,0) &amp;" ----- "&amp;'Data - DA'!B195</f>
        <v>Frame: 51 ----- Stem: 110x0  ----- Aluminium Aerobar + 30</v>
      </c>
      <c r="C184">
        <f t="shared" si="40"/>
        <v>480</v>
      </c>
      <c r="D184">
        <f t="shared" si="38"/>
        <v>450</v>
      </c>
      <c r="E184">
        <f t="shared" si="39"/>
        <v>530</v>
      </c>
      <c r="F184">
        <f>$G$4+'Data - DA'!D195</f>
        <v>595</v>
      </c>
      <c r="G184">
        <f t="shared" si="36"/>
        <v>595</v>
      </c>
      <c r="H184" t="str">
        <f>'Data - DA'!G195</f>
        <v xml:space="preserve">Aerobar Bolts: Top 25mm; Bottom 15mm </v>
      </c>
    </row>
    <row r="185" spans="2:8" x14ac:dyDescent="0.25">
      <c r="B185" t="str">
        <f>TEXT($B$3,0) &amp;" ----- "&amp;'Data - DA'!B196</f>
        <v>Frame: 51 ----- Stem: 110x0  ----- Aluminium Aerobar + 20 + bridge + 5</v>
      </c>
      <c r="C185">
        <f t="shared" si="40"/>
        <v>480</v>
      </c>
      <c r="D185">
        <f t="shared" si="38"/>
        <v>450</v>
      </c>
      <c r="E185">
        <f t="shared" si="39"/>
        <v>530</v>
      </c>
      <c r="F185">
        <f>$G$4+'Data - DA'!D196</f>
        <v>595</v>
      </c>
      <c r="G185">
        <f t="shared" si="36"/>
        <v>595</v>
      </c>
      <c r="H185" t="str">
        <f>'Data - DA'!G196</f>
        <v xml:space="preserve">Aerobar Bolts: Top 25mm; Bottom 15mm </v>
      </c>
    </row>
    <row r="186" spans="2:8" x14ac:dyDescent="0.25">
      <c r="B186" t="str">
        <f>TEXT($B$3,0) &amp;" ----- "&amp;'Data - DA'!B197</f>
        <v>Frame: 51 ----- Stem: 110x0  ----- Aluminium Aerobar + 30 + bridge</v>
      </c>
      <c r="C186">
        <f t="shared" si="40"/>
        <v>480</v>
      </c>
      <c r="D186">
        <f t="shared" si="38"/>
        <v>450</v>
      </c>
      <c r="E186">
        <f t="shared" si="39"/>
        <v>530</v>
      </c>
      <c r="F186">
        <f>$G$4+'Data - DA'!D197</f>
        <v>600</v>
      </c>
      <c r="G186">
        <f t="shared" si="36"/>
        <v>600</v>
      </c>
      <c r="H186" t="str">
        <f>'Data - DA'!G197</f>
        <v xml:space="preserve">Aerobar Bolts: Top 30mm; Bottom 15mm </v>
      </c>
    </row>
    <row r="187" spans="2:8" x14ac:dyDescent="0.25">
      <c r="B187" t="str">
        <f>TEXT($B$3,0) &amp;" ----- "&amp;'Data - DA'!B198</f>
        <v>Frame: 51 ----- Stem: 110x0  ----- Aluminium Aerobar + 30 + bridge + 5</v>
      </c>
      <c r="C187">
        <f t="shared" si="40"/>
        <v>480</v>
      </c>
      <c r="D187">
        <f t="shared" si="38"/>
        <v>450</v>
      </c>
      <c r="E187">
        <f t="shared" si="39"/>
        <v>530</v>
      </c>
      <c r="F187">
        <f>$G$4+'Data - DA'!D198</f>
        <v>605</v>
      </c>
      <c r="G187">
        <f t="shared" si="36"/>
        <v>605</v>
      </c>
      <c r="H187" t="str">
        <f>'Data - DA'!G198</f>
        <v xml:space="preserve">Aerobar Bolts: Top 30mm; Bottom 15mm </v>
      </c>
    </row>
    <row r="188" spans="2:8" x14ac:dyDescent="0.25">
      <c r="B188" t="str">
        <f>TEXT($B$3,0) &amp;" ----- "&amp;'Data - DA'!B199</f>
        <v>Frame: 51 ----- Stem: 110x0  ----- Aluminium Aerobar + 40 + bridge</v>
      </c>
      <c r="C188">
        <f t="shared" si="40"/>
        <v>480</v>
      </c>
      <c r="D188">
        <f t="shared" si="38"/>
        <v>450</v>
      </c>
      <c r="E188">
        <f t="shared" si="39"/>
        <v>530</v>
      </c>
      <c r="F188">
        <f>$G$4+'Data - DA'!D199</f>
        <v>610</v>
      </c>
      <c r="G188">
        <f t="shared" si="36"/>
        <v>610</v>
      </c>
      <c r="H188" t="str">
        <f>'Data - DA'!G199</f>
        <v xml:space="preserve">Aerobar Bolts: Top 35mm; Bottom 15mm </v>
      </c>
    </row>
    <row r="189" spans="2:8" x14ac:dyDescent="0.25">
      <c r="B189" t="str">
        <f>TEXT($B$3,0) &amp;" ----- "&amp;'Data - DA'!B200</f>
        <v>Frame: 51 ----- Stem: 110x0  ----- Aluminium Aerobar + 40 + bridge + 5</v>
      </c>
      <c r="C189">
        <f t="shared" si="40"/>
        <v>480</v>
      </c>
      <c r="D189">
        <f t="shared" si="38"/>
        <v>450</v>
      </c>
      <c r="E189">
        <f t="shared" si="39"/>
        <v>530</v>
      </c>
      <c r="F189">
        <f>$G$4+'Data - DA'!D200</f>
        <v>615</v>
      </c>
      <c r="G189">
        <f t="shared" si="36"/>
        <v>615</v>
      </c>
      <c r="H189" t="str">
        <f>'Data - DA'!G200</f>
        <v xml:space="preserve">Aerobar Bolts: Top 35mm; Bottom 15mm </v>
      </c>
    </row>
    <row r="190" spans="2:8" x14ac:dyDescent="0.25">
      <c r="B190" t="str">
        <f>TEXT($B$3,0) &amp;" ----- "&amp;'Data - DA'!B201</f>
        <v>Frame: 51 ----- Stem: 110x0  ----- Aluminium Aerobar + 40 + bridge + 10</v>
      </c>
      <c r="C190">
        <f t="shared" si="40"/>
        <v>480</v>
      </c>
      <c r="D190">
        <f t="shared" si="38"/>
        <v>450</v>
      </c>
      <c r="E190">
        <f t="shared" si="39"/>
        <v>530</v>
      </c>
      <c r="F190">
        <f>$G$4+'Data - DA'!D201</f>
        <v>620</v>
      </c>
      <c r="G190">
        <f t="shared" si="36"/>
        <v>620</v>
      </c>
      <c r="H190" t="str">
        <f>'Data - DA'!G201</f>
        <v xml:space="preserve">Aerobar Bolts: Top 35mm; Bottom 15mm </v>
      </c>
    </row>
    <row r="191" spans="2:8" x14ac:dyDescent="0.25">
      <c r="B191" t="str">
        <f>TEXT($B$3,0) &amp;" ----- "&amp;'Data - DA'!B202</f>
        <v>Frame: 51 ----- Stem: 110x0  ----- Aluminium Aerobar + 40 + bridge + 10 + 5</v>
      </c>
      <c r="C191">
        <f t="shared" si="40"/>
        <v>480</v>
      </c>
      <c r="D191">
        <f t="shared" si="38"/>
        <v>450</v>
      </c>
      <c r="E191">
        <f t="shared" si="39"/>
        <v>530</v>
      </c>
      <c r="F191">
        <f>$G$4+'Data - DA'!D202</f>
        <v>625</v>
      </c>
      <c r="G191">
        <f t="shared" si="36"/>
        <v>625</v>
      </c>
      <c r="H191" t="str">
        <f>'Data - DA'!G202</f>
        <v xml:space="preserve">Aerobar Bolts: Top 35mm; Bottom 25mm </v>
      </c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2:P191"/>
  <sheetViews>
    <sheetView zoomScale="70" zoomScaleNormal="70" workbookViewId="0">
      <selection activeCell="B1" sqref="B1:B1048576"/>
    </sheetView>
  </sheetViews>
  <sheetFormatPr defaultRowHeight="15" x14ac:dyDescent="0.25"/>
  <cols>
    <col min="2" max="2" width="60.5703125" customWidth="1"/>
    <col min="3" max="3" width="14.85546875" bestFit="1" customWidth="1"/>
    <col min="4" max="4" width="11.42578125" bestFit="1" customWidth="1"/>
    <col min="5" max="5" width="13.5703125" customWidth="1"/>
    <col min="8" max="8" width="7.140625" customWidth="1"/>
    <col min="9" max="9" width="9.140625" customWidth="1"/>
    <col min="10" max="10" width="14.7109375" customWidth="1"/>
    <col min="13" max="14" width="8.140625" bestFit="1" customWidth="1"/>
  </cols>
  <sheetData>
    <row r="2" spans="2:16" x14ac:dyDescent="0.25">
      <c r="B2" t="s">
        <v>12</v>
      </c>
    </row>
    <row r="3" spans="2:16" x14ac:dyDescent="0.25">
      <c r="B3" t="s">
        <v>101</v>
      </c>
      <c r="F3" t="s">
        <v>2</v>
      </c>
      <c r="G3" t="s">
        <v>1</v>
      </c>
    </row>
    <row r="4" spans="2:16" x14ac:dyDescent="0.25">
      <c r="F4">
        <f>'Data - DA'!C4</f>
        <v>387</v>
      </c>
      <c r="G4">
        <f>'Data - DA'!D4</f>
        <v>433</v>
      </c>
    </row>
    <row r="6" spans="2:16" x14ac:dyDescent="0.25">
      <c r="J6" s="1" t="s">
        <v>2</v>
      </c>
      <c r="K6" t="str">
        <f>'Data - DA'!T7</f>
        <v>70x30</v>
      </c>
      <c r="L6" t="str">
        <f>'Data - DA'!U7</f>
        <v>70x60</v>
      </c>
      <c r="M6" t="str">
        <f>'Data - DA'!V7</f>
        <v>100x30</v>
      </c>
      <c r="N6" t="str">
        <f>'Data - DA'!W7</f>
        <v>100x60</v>
      </c>
      <c r="O6" t="str">
        <f>'Data - DA'!X7</f>
        <v>90x0</v>
      </c>
      <c r="P6" t="str">
        <f>'Data - DA'!Y7</f>
        <v>110x0</v>
      </c>
    </row>
    <row r="7" spans="2:16" x14ac:dyDescent="0.25">
      <c r="F7" t="s">
        <v>1</v>
      </c>
      <c r="J7" t="s">
        <v>70</v>
      </c>
      <c r="K7">
        <f>'Data - DA'!T8</f>
        <v>424</v>
      </c>
      <c r="L7">
        <f>'Data - DA'!U8</f>
        <v>414</v>
      </c>
      <c r="M7">
        <f>'Data - DA'!V8</f>
        <v>454</v>
      </c>
      <c r="N7">
        <f>'Data - DA'!W8</f>
        <v>445</v>
      </c>
      <c r="O7">
        <f>'Data - DA'!X8</f>
        <v>449</v>
      </c>
      <c r="P7">
        <f>'Data - DA'!Y8</f>
        <v>469</v>
      </c>
    </row>
    <row r="8" spans="2:16" x14ac:dyDescent="0.25">
      <c r="J8" t="s">
        <v>76</v>
      </c>
      <c r="K8">
        <f>'Data - DA'!T14</f>
        <v>425</v>
      </c>
      <c r="L8">
        <f>'Data - DA'!U14</f>
        <v>415</v>
      </c>
      <c r="M8">
        <f>'Data - DA'!V14</f>
        <v>455</v>
      </c>
      <c r="N8">
        <f>'Data - DA'!W14</f>
        <v>445</v>
      </c>
      <c r="O8">
        <f>'Data - DA'!X14</f>
        <v>450</v>
      </c>
      <c r="P8">
        <f>'Data - DA'!Y14</f>
        <v>470</v>
      </c>
    </row>
    <row r="9" spans="2:16" x14ac:dyDescent="0.25">
      <c r="J9" t="s">
        <v>21</v>
      </c>
      <c r="K9">
        <f>'Data - DA'!T20</f>
        <v>395</v>
      </c>
      <c r="L9">
        <f>'Data - DA'!U20</f>
        <v>385</v>
      </c>
      <c r="M9">
        <f>'Data - DA'!V20</f>
        <v>425</v>
      </c>
      <c r="N9">
        <f>'Data - DA'!W20</f>
        <v>415</v>
      </c>
      <c r="O9">
        <f>'Data - DA'!X20</f>
        <v>420</v>
      </c>
      <c r="P9">
        <f>'Data - DA'!Y20</f>
        <v>440</v>
      </c>
    </row>
    <row r="10" spans="2:16" x14ac:dyDescent="0.25">
      <c r="J10" t="s">
        <v>22</v>
      </c>
      <c r="K10">
        <f>'Data - DA'!T26</f>
        <v>475</v>
      </c>
      <c r="L10">
        <f>'Data - DA'!U26</f>
        <v>465</v>
      </c>
      <c r="M10">
        <f>'Data - DA'!V26</f>
        <v>505</v>
      </c>
      <c r="N10">
        <f>'Data - DA'!W26</f>
        <v>495</v>
      </c>
      <c r="O10">
        <f>'Data - DA'!X26</f>
        <v>500</v>
      </c>
      <c r="P10">
        <f>'Data - DA'!Y26</f>
        <v>520</v>
      </c>
    </row>
    <row r="11" spans="2:16" x14ac:dyDescent="0.25">
      <c r="C11" t="s">
        <v>82</v>
      </c>
      <c r="D11" t="s">
        <v>15</v>
      </c>
      <c r="E11" t="s">
        <v>16</v>
      </c>
    </row>
    <row r="12" spans="2:16" x14ac:dyDescent="0.25">
      <c r="B12" t="str">
        <f>TEXT($B$3,0) &amp;" ----- "&amp;'Data - DA'!B23</f>
        <v>Frame: 47 ----- Stem: 70x30  ----- Carbon Aerobar</v>
      </c>
      <c r="C12">
        <f>$K$8</f>
        <v>425</v>
      </c>
      <c r="D12">
        <f t="shared" ref="D12:D26" si="0">$K$9</f>
        <v>395</v>
      </c>
      <c r="E12">
        <f t="shared" ref="E12:E26" si="1">$K$10</f>
        <v>475</v>
      </c>
      <c r="G12">
        <f t="shared" ref="G12:G56" si="2">ROUND(F12/5,0)*5</f>
        <v>0</v>
      </c>
      <c r="H12" t="str">
        <f>'Data - DA'!G23</f>
        <v xml:space="preserve">Aerobar Bolts: Top N/A; Bottom N/A </v>
      </c>
    </row>
    <row r="13" spans="2:16" x14ac:dyDescent="0.25">
      <c r="B13" t="str">
        <f>TEXT($B$3,0) &amp;" ----- "&amp;'Data - DA'!B24</f>
        <v>Frame: 47 ----- Stem: 70x30  ----- Carbon Aerobar + 5</v>
      </c>
      <c r="C13">
        <f t="shared" ref="C13:C26" si="3">$K$8</f>
        <v>425</v>
      </c>
      <c r="D13">
        <f t="shared" si="0"/>
        <v>395</v>
      </c>
      <c r="E13">
        <f t="shared" si="1"/>
        <v>475</v>
      </c>
      <c r="F13">
        <f>$G$4+'Data - DA'!D24</f>
        <v>531</v>
      </c>
      <c r="G13">
        <f t="shared" si="2"/>
        <v>530</v>
      </c>
      <c r="H13" t="str">
        <f>'Data - DA'!G24</f>
        <v xml:space="preserve">Aerobar Bolts: Top 45mm; Bottom N/A </v>
      </c>
    </row>
    <row r="14" spans="2:16" x14ac:dyDescent="0.25">
      <c r="B14" t="str">
        <f>TEXT($B$3,0) &amp;" ----- "&amp;'Data - DA'!B25</f>
        <v>Frame: 47 ----- Stem: 70x30  ----- Carbon Aerobar + 10</v>
      </c>
      <c r="C14">
        <f t="shared" si="3"/>
        <v>425</v>
      </c>
      <c r="D14">
        <f t="shared" si="0"/>
        <v>395</v>
      </c>
      <c r="E14">
        <f t="shared" si="1"/>
        <v>475</v>
      </c>
      <c r="F14">
        <f>$G$4+'Data - DA'!D25</f>
        <v>536</v>
      </c>
      <c r="G14">
        <f t="shared" si="2"/>
        <v>535</v>
      </c>
      <c r="H14" t="str">
        <f>'Data - DA'!G25</f>
        <v xml:space="preserve">Aerobar Bolts: Top 50mm; Bottom N/A </v>
      </c>
    </row>
    <row r="15" spans="2:16" x14ac:dyDescent="0.25">
      <c r="B15" t="str">
        <f>TEXT($B$3,0) &amp;" ----- "&amp;'Data - DA'!B26</f>
        <v>Frame: 47 ----- Stem: 70x30  ----- Carbon Aerobar + 5 + 10</v>
      </c>
      <c r="C15">
        <f t="shared" si="3"/>
        <v>425</v>
      </c>
      <c r="D15">
        <f t="shared" si="0"/>
        <v>395</v>
      </c>
      <c r="E15">
        <f t="shared" si="1"/>
        <v>475</v>
      </c>
      <c r="F15">
        <f>$G$4+'Data - DA'!D26</f>
        <v>541</v>
      </c>
      <c r="G15">
        <f t="shared" si="2"/>
        <v>540</v>
      </c>
      <c r="H15" t="str">
        <f>'Data - DA'!G26</f>
        <v xml:space="preserve">Aerobar Bolts: Top 55mm; Bottom N/A </v>
      </c>
    </row>
    <row r="16" spans="2:16" x14ac:dyDescent="0.25">
      <c r="B16" t="str">
        <f>TEXT($B$3,0) &amp;" ----- "&amp;'Data - DA'!B27</f>
        <v>Frame: 47 ----- Stem: 70x30  ----- Carbon Aerobar + 20</v>
      </c>
      <c r="C16">
        <f>$K$8</f>
        <v>425</v>
      </c>
      <c r="D16">
        <f t="shared" si="0"/>
        <v>395</v>
      </c>
      <c r="E16">
        <f t="shared" si="1"/>
        <v>475</v>
      </c>
      <c r="F16">
        <f>$G$4+'Data - DA'!D27</f>
        <v>546</v>
      </c>
      <c r="G16">
        <f t="shared" si="2"/>
        <v>545</v>
      </c>
      <c r="H16" t="str">
        <f>'Data - DA'!G27</f>
        <v xml:space="preserve">Aerobar Bolts: Top 20mm; Bottom 30mm </v>
      </c>
    </row>
    <row r="17" spans="2:8" x14ac:dyDescent="0.25">
      <c r="B17" t="str">
        <f>TEXT($B$3,0) &amp;" ----- "&amp;'Data - DA'!B28</f>
        <v>Frame: 47 ----- Stem: 70x30  ----- Carbon Aerobar + 20 + 5</v>
      </c>
      <c r="C17">
        <f t="shared" si="3"/>
        <v>425</v>
      </c>
      <c r="D17">
        <f t="shared" si="0"/>
        <v>395</v>
      </c>
      <c r="E17">
        <f t="shared" si="1"/>
        <v>475</v>
      </c>
      <c r="F17">
        <f>$G$4+'Data - DA'!D28</f>
        <v>551</v>
      </c>
      <c r="G17">
        <f t="shared" si="2"/>
        <v>550</v>
      </c>
      <c r="H17" t="str">
        <f>'Data - DA'!G28</f>
        <v xml:space="preserve">Aerobar Bolts: Top 25mm; Bottom 30mm </v>
      </c>
    </row>
    <row r="18" spans="2:8" x14ac:dyDescent="0.25">
      <c r="B18" t="str">
        <f>TEXT($B$3,0) &amp;" ----- "&amp;'Data - DA'!B29</f>
        <v>Frame: 47 ----- Stem: 70x30  ----- Carbon Aerobar + 20 + bridge</v>
      </c>
      <c r="C18">
        <f>$K$8</f>
        <v>425</v>
      </c>
      <c r="D18">
        <f t="shared" si="0"/>
        <v>395</v>
      </c>
      <c r="E18">
        <f t="shared" si="1"/>
        <v>475</v>
      </c>
      <c r="F18">
        <f>$G$4+'Data - DA'!D29</f>
        <v>551</v>
      </c>
      <c r="G18">
        <f t="shared" si="2"/>
        <v>550</v>
      </c>
      <c r="H18" t="str">
        <f>'Data - DA'!G29</f>
        <v xml:space="preserve">Aerobar Bolts: Top 25mm; Bottom 30mm </v>
      </c>
    </row>
    <row r="19" spans="2:8" x14ac:dyDescent="0.25">
      <c r="B19" t="str">
        <f>TEXT($B$3,0) &amp;" ----- "&amp;'Data - DA'!B30</f>
        <v>Frame: 47 ----- Stem: 70x30  ----- Carbon Aerobar + 30</v>
      </c>
      <c r="C19">
        <f t="shared" si="3"/>
        <v>425</v>
      </c>
      <c r="D19">
        <f t="shared" si="0"/>
        <v>395</v>
      </c>
      <c r="E19">
        <f t="shared" si="1"/>
        <v>475</v>
      </c>
      <c r="F19">
        <f>$G$4+'Data - DA'!D30</f>
        <v>556</v>
      </c>
      <c r="G19">
        <f t="shared" si="2"/>
        <v>555</v>
      </c>
      <c r="H19" t="str">
        <f>'Data - DA'!G30</f>
        <v xml:space="preserve">Aerobar Bolts: Top 25mm; Bottom 30mm </v>
      </c>
    </row>
    <row r="20" spans="2:8" x14ac:dyDescent="0.25">
      <c r="B20" t="str">
        <f>TEXT($B$3,0) &amp;" ----- "&amp;'Data - DA'!B31</f>
        <v>Frame: 47 ----- Stem: 70x30  ----- Carbon Aerobar + 20 + bridge + 5</v>
      </c>
      <c r="C20">
        <f t="shared" si="3"/>
        <v>425</v>
      </c>
      <c r="D20">
        <f t="shared" si="0"/>
        <v>395</v>
      </c>
      <c r="E20">
        <f t="shared" si="1"/>
        <v>475</v>
      </c>
      <c r="F20">
        <f>$G$4+'Data - DA'!D31</f>
        <v>556</v>
      </c>
      <c r="G20">
        <f t="shared" si="2"/>
        <v>555</v>
      </c>
      <c r="H20" t="str">
        <f>'Data - DA'!G31</f>
        <v xml:space="preserve">Aerobar Bolts: Top 30mm; Bottom 30mm </v>
      </c>
    </row>
    <row r="21" spans="2:8" x14ac:dyDescent="0.25">
      <c r="B21" t="str">
        <f>TEXT($B$3,0) &amp;" ----- "&amp;'Data - DA'!B32</f>
        <v>Frame: 47 ----- Stem: 70x30  ----- Carbon Aerobar + 30 + bridge</v>
      </c>
      <c r="C21">
        <f t="shared" si="3"/>
        <v>425</v>
      </c>
      <c r="D21">
        <f t="shared" si="0"/>
        <v>395</v>
      </c>
      <c r="E21">
        <f t="shared" si="1"/>
        <v>475</v>
      </c>
      <c r="F21">
        <f>$G$4+'Data - DA'!D32</f>
        <v>561</v>
      </c>
      <c r="G21">
        <f t="shared" si="2"/>
        <v>560</v>
      </c>
      <c r="H21" t="str">
        <f>'Data - DA'!G32</f>
        <v xml:space="preserve">Aerobar Bolts: Top 30mm; Bottom 30mm </v>
      </c>
    </row>
    <row r="22" spans="2:8" x14ac:dyDescent="0.25">
      <c r="B22" t="str">
        <f>TEXT($B$3,0) &amp;" ----- "&amp;'Data - DA'!B33</f>
        <v>Frame: 47 ----- Stem: 70x30  ----- Carbon Aerobar + 30 + bridge + 5</v>
      </c>
      <c r="C22">
        <f t="shared" si="3"/>
        <v>425</v>
      </c>
      <c r="D22">
        <f t="shared" si="0"/>
        <v>395</v>
      </c>
      <c r="E22">
        <f t="shared" si="1"/>
        <v>475</v>
      </c>
      <c r="F22">
        <f>$G$4+'Data - DA'!D33</f>
        <v>566</v>
      </c>
      <c r="G22">
        <f t="shared" si="2"/>
        <v>565</v>
      </c>
      <c r="H22" t="str">
        <f>'Data - DA'!G33</f>
        <v xml:space="preserve">Aerobar Bolts: Top 35mm; Bottom 30mm </v>
      </c>
    </row>
    <row r="23" spans="2:8" x14ac:dyDescent="0.25">
      <c r="B23" t="str">
        <f>TEXT($B$3,0) &amp;" ----- "&amp;'Data - DA'!B34</f>
        <v>Frame: 47 ----- Stem: 70x30  ----- Carbon Aerobar + 40 + bridge</v>
      </c>
      <c r="C23">
        <f t="shared" si="3"/>
        <v>425</v>
      </c>
      <c r="D23">
        <f t="shared" si="0"/>
        <v>395</v>
      </c>
      <c r="E23">
        <f t="shared" si="1"/>
        <v>475</v>
      </c>
      <c r="F23">
        <f>$G$4+'Data - DA'!D34</f>
        <v>571</v>
      </c>
      <c r="G23">
        <f t="shared" si="2"/>
        <v>570</v>
      </c>
      <c r="H23" t="str">
        <f>'Data - DA'!G34</f>
        <v xml:space="preserve">Aerobar Bolts: Top 35mm; Bottom 30mm </v>
      </c>
    </row>
    <row r="24" spans="2:8" x14ac:dyDescent="0.25">
      <c r="B24" t="str">
        <f>TEXT($B$3,0) &amp;" ----- "&amp;'Data - DA'!B35</f>
        <v>Frame: 47 ----- Stem: 70x30  ----- Carbon Aerobar + 40 + bridge + 5</v>
      </c>
      <c r="C24">
        <f t="shared" si="3"/>
        <v>425</v>
      </c>
      <c r="D24">
        <f t="shared" si="0"/>
        <v>395</v>
      </c>
      <c r="E24">
        <f t="shared" si="1"/>
        <v>475</v>
      </c>
      <c r="F24">
        <f>$G$4+'Data - DA'!D35</f>
        <v>576</v>
      </c>
      <c r="G24">
        <f t="shared" si="2"/>
        <v>575</v>
      </c>
      <c r="H24" t="str">
        <f>'Data - DA'!G35</f>
        <v xml:space="preserve">Aerobar Bolts: Top 35mm; Bottom 30mm </v>
      </c>
    </row>
    <row r="25" spans="2:8" x14ac:dyDescent="0.25">
      <c r="B25" t="str">
        <f>TEXT($B$3,0) &amp;" ----- "&amp;'Data - DA'!B36</f>
        <v>Frame: 47 ----- Stem: 70x30  ----- Carbon Aerobar + 40 + bridge + 10</v>
      </c>
      <c r="C25">
        <f t="shared" si="3"/>
        <v>425</v>
      </c>
      <c r="D25">
        <f t="shared" si="0"/>
        <v>395</v>
      </c>
      <c r="E25">
        <f t="shared" si="1"/>
        <v>475</v>
      </c>
      <c r="F25">
        <f>$G$4+'Data - DA'!D36</f>
        <v>581</v>
      </c>
      <c r="G25">
        <f t="shared" si="2"/>
        <v>580</v>
      </c>
      <c r="H25" t="str">
        <f>'Data - DA'!G36</f>
        <v xml:space="preserve">Aerobar Bolts: Top 40mm; Bottom 30mm </v>
      </c>
    </row>
    <row r="26" spans="2:8" x14ac:dyDescent="0.25">
      <c r="B26" t="str">
        <f>TEXT($B$3,0) &amp;" ----- "&amp;'Data - DA'!B37</f>
        <v>Frame: 47 ----- Stem: 70x30  ----- Carbon Aerobar + 40 + bridge + 10 + 5</v>
      </c>
      <c r="C26">
        <f t="shared" si="3"/>
        <v>425</v>
      </c>
      <c r="D26">
        <f t="shared" si="0"/>
        <v>395</v>
      </c>
      <c r="E26">
        <f t="shared" si="1"/>
        <v>475</v>
      </c>
      <c r="F26">
        <f>$G$4+'Data - DA'!D37</f>
        <v>586</v>
      </c>
      <c r="G26">
        <f t="shared" si="2"/>
        <v>585</v>
      </c>
      <c r="H26" t="str">
        <f>'Data - DA'!G37</f>
        <v xml:space="preserve">Aerobar Bolts: Top 45mm; Bottom 30mm </v>
      </c>
    </row>
    <row r="27" spans="2:8" x14ac:dyDescent="0.25">
      <c r="B27" t="str">
        <f>TEXT($B$3,0) &amp;" ----- "&amp;'Data - DA'!B38</f>
        <v>Frame: 47 ----- Stem: 70x60  ----- Carbon Aerobar</v>
      </c>
      <c r="C27">
        <f>$L$8</f>
        <v>415</v>
      </c>
      <c r="D27">
        <f t="shared" ref="D27:D41" si="4">$L$9</f>
        <v>385</v>
      </c>
      <c r="E27">
        <f t="shared" ref="E27:E41" si="5">$L$10</f>
        <v>465</v>
      </c>
      <c r="G27">
        <f t="shared" si="2"/>
        <v>0</v>
      </c>
      <c r="H27" t="str">
        <f>'Data - DA'!G38</f>
        <v xml:space="preserve">Aerobar Bolts: Top N/A; Bottom N/A </v>
      </c>
    </row>
    <row r="28" spans="2:8" x14ac:dyDescent="0.25">
      <c r="B28" t="str">
        <f>TEXT($B$3,0) &amp;" ----- "&amp;'Data - DA'!B39</f>
        <v>Frame: 47 ----- Stem: 70x60  ----- Carbon Aerobar + 5</v>
      </c>
      <c r="C28">
        <f t="shared" ref="C28:C41" si="6">$L$8</f>
        <v>415</v>
      </c>
      <c r="D28">
        <f t="shared" si="4"/>
        <v>385</v>
      </c>
      <c r="E28">
        <f t="shared" si="5"/>
        <v>465</v>
      </c>
      <c r="F28">
        <f>$G$4+'Data - DA'!D39</f>
        <v>562</v>
      </c>
      <c r="G28">
        <f t="shared" si="2"/>
        <v>560</v>
      </c>
      <c r="H28" t="str">
        <f>'Data - DA'!G39</f>
        <v xml:space="preserve">Aerobar Bolts: Top 45mm; Bottom N/A </v>
      </c>
    </row>
    <row r="29" spans="2:8" x14ac:dyDescent="0.25">
      <c r="B29" t="str">
        <f>TEXT($B$3,0) &amp;" ----- "&amp;'Data - DA'!B40</f>
        <v>Frame: 47 ----- Stem: 70x60  ----- Carbon Aerobar + 10</v>
      </c>
      <c r="C29">
        <f t="shared" si="6"/>
        <v>415</v>
      </c>
      <c r="D29">
        <f t="shared" si="4"/>
        <v>385</v>
      </c>
      <c r="E29">
        <f t="shared" si="5"/>
        <v>465</v>
      </c>
      <c r="F29">
        <f>$G$4+'Data - DA'!D40</f>
        <v>567</v>
      </c>
      <c r="G29">
        <f t="shared" si="2"/>
        <v>565</v>
      </c>
      <c r="H29" t="str">
        <f>'Data - DA'!G40</f>
        <v xml:space="preserve">Aerobar Bolts: Top 50mm; Bottom N/A </v>
      </c>
    </row>
    <row r="30" spans="2:8" x14ac:dyDescent="0.25">
      <c r="B30" t="str">
        <f>TEXT($B$3,0) &amp;" ----- "&amp;'Data - DA'!B41</f>
        <v>Frame: 47 ----- Stem: 70x60  ----- Carbon Aerobar + 5 + 10</v>
      </c>
      <c r="C30">
        <f t="shared" si="6"/>
        <v>415</v>
      </c>
      <c r="D30">
        <f t="shared" si="4"/>
        <v>385</v>
      </c>
      <c r="E30">
        <f t="shared" si="5"/>
        <v>465</v>
      </c>
      <c r="F30">
        <f>$G$4+'Data - DA'!D41</f>
        <v>572</v>
      </c>
      <c r="G30">
        <f t="shared" si="2"/>
        <v>570</v>
      </c>
      <c r="H30" t="str">
        <f>'Data - DA'!G41</f>
        <v xml:space="preserve">Aerobar Bolts: Top 55mm; Bottom N/A </v>
      </c>
    </row>
    <row r="31" spans="2:8" x14ac:dyDescent="0.25">
      <c r="B31" t="str">
        <f>TEXT($B$3,0) &amp;" ----- "&amp;'Data - DA'!B42</f>
        <v>Frame: 47 ----- Stem: 70x60  ----- Carbon Aerobar + 20</v>
      </c>
      <c r="C31">
        <f t="shared" si="6"/>
        <v>415</v>
      </c>
      <c r="D31">
        <f t="shared" si="4"/>
        <v>385</v>
      </c>
      <c r="E31">
        <f t="shared" si="5"/>
        <v>465</v>
      </c>
      <c r="F31">
        <f>$G$4+'Data - DA'!D42</f>
        <v>577</v>
      </c>
      <c r="G31">
        <f t="shared" si="2"/>
        <v>575</v>
      </c>
      <c r="H31" t="str">
        <f>'Data - DA'!G42</f>
        <v xml:space="preserve">Aerobar Bolts: Top 20mm; Bottom 30mm </v>
      </c>
    </row>
    <row r="32" spans="2:8" x14ac:dyDescent="0.25">
      <c r="B32" t="str">
        <f>TEXT($B$3,0) &amp;" ----- "&amp;'Data - DA'!B43</f>
        <v>Frame: 47 ----- Stem: 70x60  ----- Carbon Aerobar + 20 + 5</v>
      </c>
      <c r="C32">
        <f t="shared" si="6"/>
        <v>415</v>
      </c>
      <c r="D32">
        <f t="shared" si="4"/>
        <v>385</v>
      </c>
      <c r="E32">
        <f t="shared" si="5"/>
        <v>465</v>
      </c>
      <c r="F32">
        <f>$G$4+'Data - DA'!D43</f>
        <v>582</v>
      </c>
      <c r="G32">
        <f t="shared" si="2"/>
        <v>580</v>
      </c>
      <c r="H32" t="str">
        <f>'Data - DA'!G43</f>
        <v xml:space="preserve">Aerobar Bolts: Top 25mm; Bottom 30mm </v>
      </c>
    </row>
    <row r="33" spans="2:8" x14ac:dyDescent="0.25">
      <c r="B33" t="str">
        <f>TEXT($B$3,0) &amp;" ----- "&amp;'Data - DA'!B44</f>
        <v>Frame: 47 ----- Stem: 70x60  ----- Carbon Aerobar + 20 + bridge</v>
      </c>
      <c r="C33">
        <f t="shared" si="6"/>
        <v>415</v>
      </c>
      <c r="D33">
        <f t="shared" si="4"/>
        <v>385</v>
      </c>
      <c r="E33">
        <f t="shared" si="5"/>
        <v>465</v>
      </c>
      <c r="F33">
        <f>$G$4+'Data - DA'!D44</f>
        <v>582</v>
      </c>
      <c r="G33">
        <f t="shared" si="2"/>
        <v>580</v>
      </c>
      <c r="H33" t="str">
        <f>'Data - DA'!G44</f>
        <v xml:space="preserve">Aerobar Bolts: Top 25mm; Bottom 30mm </v>
      </c>
    </row>
    <row r="34" spans="2:8" x14ac:dyDescent="0.25">
      <c r="B34" t="str">
        <f>TEXT($B$3,0) &amp;" ----- "&amp;'Data - DA'!B45</f>
        <v>Frame: 47 ----- Stem: 70x60  ----- Carbon Aerobar + 30</v>
      </c>
      <c r="C34">
        <f t="shared" si="6"/>
        <v>415</v>
      </c>
      <c r="D34">
        <f t="shared" si="4"/>
        <v>385</v>
      </c>
      <c r="E34">
        <f t="shared" si="5"/>
        <v>465</v>
      </c>
      <c r="F34">
        <f>$G$4+'Data - DA'!D45</f>
        <v>587</v>
      </c>
      <c r="G34">
        <f t="shared" si="2"/>
        <v>585</v>
      </c>
      <c r="H34" t="str">
        <f>'Data - DA'!G45</f>
        <v xml:space="preserve">Aerobar Bolts: Top 25mm; Bottom 30mm </v>
      </c>
    </row>
    <row r="35" spans="2:8" x14ac:dyDescent="0.25">
      <c r="B35" t="str">
        <f>TEXT($B$3,0) &amp;" ----- "&amp;'Data - DA'!B46</f>
        <v>Frame: 47 ----- Stem: 70x60  ----- Carbon Aerobar + 20 + bridge + 5</v>
      </c>
      <c r="C35">
        <f t="shared" si="6"/>
        <v>415</v>
      </c>
      <c r="D35">
        <f t="shared" si="4"/>
        <v>385</v>
      </c>
      <c r="E35">
        <f t="shared" si="5"/>
        <v>465</v>
      </c>
      <c r="F35">
        <f>$G$4+'Data - DA'!D46</f>
        <v>587</v>
      </c>
      <c r="G35">
        <f t="shared" si="2"/>
        <v>585</v>
      </c>
      <c r="H35" t="str">
        <f>'Data - DA'!G46</f>
        <v xml:space="preserve">Aerobar Bolts: Top 30mm; Bottom 30mm </v>
      </c>
    </row>
    <row r="36" spans="2:8" x14ac:dyDescent="0.25">
      <c r="B36" t="str">
        <f>TEXT($B$3,0) &amp;" ----- "&amp;'Data - DA'!B47</f>
        <v>Frame: 47 ----- Stem: 70x60  ----- Carbon Aerobar + 30 + bridge</v>
      </c>
      <c r="C36">
        <f t="shared" si="6"/>
        <v>415</v>
      </c>
      <c r="D36">
        <f t="shared" si="4"/>
        <v>385</v>
      </c>
      <c r="E36">
        <f t="shared" si="5"/>
        <v>465</v>
      </c>
      <c r="F36">
        <f>$G$4+'Data - DA'!D47</f>
        <v>592</v>
      </c>
      <c r="G36">
        <f t="shared" si="2"/>
        <v>590</v>
      </c>
      <c r="H36" t="str">
        <f>'Data - DA'!G47</f>
        <v xml:space="preserve">Aerobar Bolts: Top 30mm; Bottom 30mm </v>
      </c>
    </row>
    <row r="37" spans="2:8" x14ac:dyDescent="0.25">
      <c r="B37" t="str">
        <f>TEXT($B$3,0) &amp;" ----- "&amp;'Data - DA'!B48</f>
        <v>Frame: 47 ----- Stem: 70x60  ----- Carbon Aerobar + 30 + bridge + 5</v>
      </c>
      <c r="C37">
        <f t="shared" si="6"/>
        <v>415</v>
      </c>
      <c r="D37">
        <f t="shared" si="4"/>
        <v>385</v>
      </c>
      <c r="E37">
        <f t="shared" si="5"/>
        <v>465</v>
      </c>
      <c r="F37">
        <f>$G$4+'Data - DA'!D48</f>
        <v>597</v>
      </c>
      <c r="G37">
        <f t="shared" si="2"/>
        <v>595</v>
      </c>
      <c r="H37" t="str">
        <f>'Data - DA'!G48</f>
        <v xml:space="preserve">Aerobar Bolts: Top 35mm; Bottom 30mm </v>
      </c>
    </row>
    <row r="38" spans="2:8" x14ac:dyDescent="0.25">
      <c r="B38" t="str">
        <f>TEXT($B$3,0) &amp;" ----- "&amp;'Data - DA'!B49</f>
        <v>Frame: 47 ----- Stem: 70x60  ----- Carbon Aerobar + 40 + bridge</v>
      </c>
      <c r="C38">
        <f t="shared" si="6"/>
        <v>415</v>
      </c>
      <c r="D38">
        <f t="shared" si="4"/>
        <v>385</v>
      </c>
      <c r="E38">
        <f t="shared" si="5"/>
        <v>465</v>
      </c>
      <c r="F38">
        <f>$G$4+'Data - DA'!D49</f>
        <v>602</v>
      </c>
      <c r="G38">
        <f t="shared" si="2"/>
        <v>600</v>
      </c>
      <c r="H38" t="str">
        <f>'Data - DA'!G49</f>
        <v xml:space="preserve">Aerobar Bolts: Top 35mm; Bottom 30mm </v>
      </c>
    </row>
    <row r="39" spans="2:8" x14ac:dyDescent="0.25">
      <c r="B39" t="str">
        <f>TEXT($B$3,0) &amp;" ----- "&amp;'Data - DA'!B50</f>
        <v>Frame: 47 ----- Stem: 70x60  ----- Carbon Aerobar + 40 + bridge + 5</v>
      </c>
      <c r="C39">
        <f t="shared" si="6"/>
        <v>415</v>
      </c>
      <c r="D39">
        <f t="shared" si="4"/>
        <v>385</v>
      </c>
      <c r="E39">
        <f t="shared" si="5"/>
        <v>465</v>
      </c>
      <c r="F39">
        <f>$G$4+'Data - DA'!D50</f>
        <v>607</v>
      </c>
      <c r="G39">
        <f t="shared" si="2"/>
        <v>605</v>
      </c>
      <c r="H39" t="str">
        <f>'Data - DA'!G50</f>
        <v xml:space="preserve">Aerobar Bolts: Top 35mm; Bottom 30mm </v>
      </c>
    </row>
    <row r="40" spans="2:8" x14ac:dyDescent="0.25">
      <c r="B40" t="str">
        <f>TEXT($B$3,0) &amp;" ----- "&amp;'Data - DA'!B51</f>
        <v>Frame: 47 ----- Stem: 70x60  ----- Carbon Aerobar + 40 + bridge + 10</v>
      </c>
      <c r="C40">
        <f t="shared" si="6"/>
        <v>415</v>
      </c>
      <c r="D40">
        <f t="shared" si="4"/>
        <v>385</v>
      </c>
      <c r="E40">
        <f t="shared" si="5"/>
        <v>465</v>
      </c>
      <c r="F40">
        <f>$G$4+'Data - DA'!D51</f>
        <v>612</v>
      </c>
      <c r="G40">
        <f t="shared" si="2"/>
        <v>610</v>
      </c>
      <c r="H40" t="str">
        <f>'Data - DA'!G51</f>
        <v xml:space="preserve">Aerobar Bolts: Top 40mm; Bottom 30mm </v>
      </c>
    </row>
    <row r="41" spans="2:8" x14ac:dyDescent="0.25">
      <c r="B41" t="str">
        <f>TEXT($B$3,0) &amp;" ----- "&amp;'Data - DA'!B52</f>
        <v>Frame: 47 ----- Stem: 70x60  ----- Carbon Aerobar + 40 + bridge + 10 + 5</v>
      </c>
      <c r="C41">
        <f t="shared" si="6"/>
        <v>415</v>
      </c>
      <c r="D41">
        <f t="shared" si="4"/>
        <v>385</v>
      </c>
      <c r="E41">
        <f t="shared" si="5"/>
        <v>465</v>
      </c>
      <c r="F41">
        <f>$G$4+'Data - DA'!D52</f>
        <v>617</v>
      </c>
      <c r="G41">
        <f t="shared" si="2"/>
        <v>615</v>
      </c>
      <c r="H41" t="str">
        <f>'Data - DA'!G52</f>
        <v xml:space="preserve">Aerobar Bolts: Top 45mm; Bottom 30mm </v>
      </c>
    </row>
    <row r="42" spans="2:8" x14ac:dyDescent="0.25">
      <c r="B42" t="str">
        <f>TEXT($B$3,0) &amp;" ----- "&amp;'Data - DA'!B53</f>
        <v>Frame: 47 ----- Stem: 100x30  ----- Carbon Aerobar</v>
      </c>
      <c r="C42">
        <f>$M$8</f>
        <v>455</v>
      </c>
      <c r="D42">
        <f t="shared" ref="D42:D56" si="7">$M$9</f>
        <v>425</v>
      </c>
      <c r="E42">
        <f t="shared" ref="E42:E56" si="8">$M$10</f>
        <v>505</v>
      </c>
      <c r="G42">
        <f t="shared" si="2"/>
        <v>0</v>
      </c>
      <c r="H42" t="str">
        <f>'Data - DA'!G53</f>
        <v xml:space="preserve">Aerobar Bolts: Top N/A; Bottom N/A </v>
      </c>
    </row>
    <row r="43" spans="2:8" x14ac:dyDescent="0.25">
      <c r="B43" t="str">
        <f>TEXT($B$3,0) &amp;" ----- "&amp;'Data - DA'!B54</f>
        <v>Frame: 47 ----- Stem: 100x30  ----- Carbon Aerobar + 5</v>
      </c>
      <c r="C43">
        <f t="shared" ref="C43:C56" si="9">$M$8</f>
        <v>455</v>
      </c>
      <c r="D43">
        <f t="shared" si="7"/>
        <v>425</v>
      </c>
      <c r="E43">
        <f t="shared" si="8"/>
        <v>505</v>
      </c>
      <c r="F43">
        <f>$G$4+'Data - DA'!D54</f>
        <v>532</v>
      </c>
      <c r="G43">
        <f t="shared" si="2"/>
        <v>530</v>
      </c>
      <c r="H43" t="str">
        <f>'Data - DA'!G54</f>
        <v xml:space="preserve">Aerobar Bolts: Top 45mm; Bottom N/A </v>
      </c>
    </row>
    <row r="44" spans="2:8" x14ac:dyDescent="0.25">
      <c r="B44" t="str">
        <f>TEXT($B$3,0) &amp;" ----- "&amp;'Data - DA'!B55</f>
        <v>Frame: 47 ----- Stem: 100x30  ----- Carbon Aerobar + 10</v>
      </c>
      <c r="C44">
        <f t="shared" si="9"/>
        <v>455</v>
      </c>
      <c r="D44">
        <f t="shared" si="7"/>
        <v>425</v>
      </c>
      <c r="E44">
        <f t="shared" si="8"/>
        <v>505</v>
      </c>
      <c r="F44">
        <f>$G$4+'Data - DA'!D55</f>
        <v>537</v>
      </c>
      <c r="G44">
        <f t="shared" si="2"/>
        <v>535</v>
      </c>
      <c r="H44" t="str">
        <f>'Data - DA'!G55</f>
        <v xml:space="preserve">Aerobar Bolts: Top 50mm; Bottom N/A </v>
      </c>
    </row>
    <row r="45" spans="2:8" x14ac:dyDescent="0.25">
      <c r="B45" t="str">
        <f>TEXT($B$3,0) &amp;" ----- "&amp;'Data - DA'!B56</f>
        <v>Frame: 47 ----- Stem: 100x30  ----- Carbon Aerobar + 5 + 10</v>
      </c>
      <c r="C45">
        <f t="shared" si="9"/>
        <v>455</v>
      </c>
      <c r="D45">
        <f t="shared" si="7"/>
        <v>425</v>
      </c>
      <c r="E45">
        <f t="shared" si="8"/>
        <v>505</v>
      </c>
      <c r="F45">
        <f>$G$4+'Data - DA'!D56</f>
        <v>542</v>
      </c>
      <c r="G45">
        <f t="shared" si="2"/>
        <v>540</v>
      </c>
      <c r="H45" t="str">
        <f>'Data - DA'!G56</f>
        <v xml:space="preserve">Aerobar Bolts: Top 55mm; Bottom N/A </v>
      </c>
    </row>
    <row r="46" spans="2:8" x14ac:dyDescent="0.25">
      <c r="B46" t="str">
        <f>TEXT($B$3,0) &amp;" ----- "&amp;'Data - DA'!B57</f>
        <v>Frame: 47 ----- Stem: 100x30  ----- Carbon Aerobar + 20</v>
      </c>
      <c r="C46">
        <f t="shared" si="9"/>
        <v>455</v>
      </c>
      <c r="D46">
        <f t="shared" si="7"/>
        <v>425</v>
      </c>
      <c r="E46">
        <f t="shared" si="8"/>
        <v>505</v>
      </c>
      <c r="F46">
        <f>$G$4+'Data - DA'!D57</f>
        <v>547</v>
      </c>
      <c r="G46">
        <f t="shared" si="2"/>
        <v>545</v>
      </c>
      <c r="H46" t="str">
        <f>'Data - DA'!G57</f>
        <v xml:space="preserve">Aerobar Bolts: Top 20mm; Bottom 30mm </v>
      </c>
    </row>
    <row r="47" spans="2:8" x14ac:dyDescent="0.25">
      <c r="B47" t="str">
        <f>TEXT($B$3,0) &amp;" ----- "&amp;'Data - DA'!B58</f>
        <v>Frame: 47 ----- Stem: 100x30  ----- Carbon Aerobar + 20 + 5</v>
      </c>
      <c r="C47">
        <f t="shared" si="9"/>
        <v>455</v>
      </c>
      <c r="D47">
        <f t="shared" si="7"/>
        <v>425</v>
      </c>
      <c r="E47">
        <f t="shared" si="8"/>
        <v>505</v>
      </c>
      <c r="F47">
        <f>$G$4+'Data - DA'!D58</f>
        <v>552</v>
      </c>
      <c r="G47">
        <f t="shared" si="2"/>
        <v>550</v>
      </c>
      <c r="H47" t="str">
        <f>'Data - DA'!G58</f>
        <v xml:space="preserve">Aerobar Bolts: Top 25mm; Bottom 30mm </v>
      </c>
    </row>
    <row r="48" spans="2:8" x14ac:dyDescent="0.25">
      <c r="B48" t="str">
        <f>TEXT($B$3,0) &amp;" ----- "&amp;'Data - DA'!B59</f>
        <v>Frame: 47 ----- Stem: 100x30  ----- Carbon Aerobar + 20 + bridge</v>
      </c>
      <c r="C48">
        <f t="shared" si="9"/>
        <v>455</v>
      </c>
      <c r="D48">
        <f t="shared" si="7"/>
        <v>425</v>
      </c>
      <c r="E48">
        <f t="shared" si="8"/>
        <v>505</v>
      </c>
      <c r="F48">
        <f>$G$4+'Data - DA'!D59</f>
        <v>552</v>
      </c>
      <c r="G48">
        <f t="shared" si="2"/>
        <v>550</v>
      </c>
      <c r="H48" t="str">
        <f>'Data - DA'!G59</f>
        <v xml:space="preserve">Aerobar Bolts: Top 25mm; Bottom 30mm </v>
      </c>
    </row>
    <row r="49" spans="2:8" x14ac:dyDescent="0.25">
      <c r="B49" t="str">
        <f>TEXT($B$3,0) &amp;" ----- "&amp;'Data - DA'!B60</f>
        <v>Frame: 47 ----- Stem: 100x30  ----- Carbon Aerobar + 30</v>
      </c>
      <c r="C49">
        <f t="shared" si="9"/>
        <v>455</v>
      </c>
      <c r="D49">
        <f t="shared" si="7"/>
        <v>425</v>
      </c>
      <c r="E49">
        <f t="shared" si="8"/>
        <v>505</v>
      </c>
      <c r="F49">
        <f>$G$4+'Data - DA'!D60</f>
        <v>557</v>
      </c>
      <c r="G49">
        <f t="shared" si="2"/>
        <v>555</v>
      </c>
      <c r="H49" t="str">
        <f>'Data - DA'!G60</f>
        <v xml:space="preserve">Aerobar Bolts: Top 25mm; Bottom 30mm </v>
      </c>
    </row>
    <row r="50" spans="2:8" x14ac:dyDescent="0.25">
      <c r="B50" t="str">
        <f>TEXT($B$3,0) &amp;" ----- "&amp;'Data - DA'!B61</f>
        <v>Frame: 47 ----- Stem: 100x30  ----- Carbon Aerobar + 20 + bridge + 5</v>
      </c>
      <c r="C50">
        <f t="shared" si="9"/>
        <v>455</v>
      </c>
      <c r="D50">
        <f t="shared" si="7"/>
        <v>425</v>
      </c>
      <c r="E50">
        <f t="shared" si="8"/>
        <v>505</v>
      </c>
      <c r="F50">
        <f>$G$4+'Data - DA'!D61</f>
        <v>557</v>
      </c>
      <c r="G50">
        <f t="shared" si="2"/>
        <v>555</v>
      </c>
      <c r="H50" t="str">
        <f>'Data - DA'!G61</f>
        <v xml:space="preserve">Aerobar Bolts: Top 30mm; Bottom 30mm </v>
      </c>
    </row>
    <row r="51" spans="2:8" x14ac:dyDescent="0.25">
      <c r="B51" t="str">
        <f>TEXT($B$3,0) &amp;" ----- "&amp;'Data - DA'!B62</f>
        <v>Frame: 47 ----- Stem: 100x30  ----- Carbon Aerobar + 30 + bridge</v>
      </c>
      <c r="C51">
        <f t="shared" si="9"/>
        <v>455</v>
      </c>
      <c r="D51">
        <f t="shared" si="7"/>
        <v>425</v>
      </c>
      <c r="E51">
        <f t="shared" si="8"/>
        <v>505</v>
      </c>
      <c r="F51">
        <f>$G$4+'Data - DA'!D62</f>
        <v>562</v>
      </c>
      <c r="G51">
        <f t="shared" si="2"/>
        <v>560</v>
      </c>
      <c r="H51" t="str">
        <f>'Data - DA'!G62</f>
        <v xml:space="preserve">Aerobar Bolts: Top 30mm; Bottom 30mm </v>
      </c>
    </row>
    <row r="52" spans="2:8" x14ac:dyDescent="0.25">
      <c r="B52" t="str">
        <f>TEXT($B$3,0) &amp;" ----- "&amp;'Data - DA'!B63</f>
        <v>Frame: 47 ----- Stem: 100x30  ----- Carbon Aerobar + 30 + bridge + 5</v>
      </c>
      <c r="C52">
        <f t="shared" si="9"/>
        <v>455</v>
      </c>
      <c r="D52">
        <f t="shared" si="7"/>
        <v>425</v>
      </c>
      <c r="E52">
        <f t="shared" si="8"/>
        <v>505</v>
      </c>
      <c r="F52">
        <f>$G$4+'Data - DA'!D63</f>
        <v>567</v>
      </c>
      <c r="G52">
        <f t="shared" si="2"/>
        <v>565</v>
      </c>
      <c r="H52" t="str">
        <f>'Data - DA'!G63</f>
        <v xml:space="preserve">Aerobar Bolts: Top 35mm; Bottom 30mm </v>
      </c>
    </row>
    <row r="53" spans="2:8" x14ac:dyDescent="0.25">
      <c r="B53" t="str">
        <f>TEXT($B$3,0) &amp;" ----- "&amp;'Data - DA'!B64</f>
        <v>Frame: 47 ----- Stem: 100x30  ----- Carbon Aerobar + 40 + bridge</v>
      </c>
      <c r="C53">
        <f t="shared" si="9"/>
        <v>455</v>
      </c>
      <c r="D53">
        <f t="shared" si="7"/>
        <v>425</v>
      </c>
      <c r="E53">
        <f t="shared" si="8"/>
        <v>505</v>
      </c>
      <c r="F53">
        <f>$G$4+'Data - DA'!D64</f>
        <v>572</v>
      </c>
      <c r="G53">
        <f t="shared" si="2"/>
        <v>570</v>
      </c>
      <c r="H53" t="str">
        <f>'Data - DA'!G64</f>
        <v xml:space="preserve">Aerobar Bolts: Top 35mm; Bottom 30mm </v>
      </c>
    </row>
    <row r="54" spans="2:8" x14ac:dyDescent="0.25">
      <c r="B54" t="str">
        <f>TEXT($B$3,0) &amp;" ----- "&amp;'Data - DA'!B65</f>
        <v>Frame: 47 ----- Stem: 100x30  ----- Carbon Aerobar + 40 + bridge + 5</v>
      </c>
      <c r="C54">
        <f t="shared" si="9"/>
        <v>455</v>
      </c>
      <c r="D54">
        <f t="shared" si="7"/>
        <v>425</v>
      </c>
      <c r="E54">
        <f t="shared" si="8"/>
        <v>505</v>
      </c>
      <c r="F54">
        <f>$G$4+'Data - DA'!D65</f>
        <v>577</v>
      </c>
      <c r="G54">
        <f t="shared" si="2"/>
        <v>575</v>
      </c>
      <c r="H54" t="str">
        <f>'Data - DA'!G65</f>
        <v xml:space="preserve">Aerobar Bolts: Top 35mm; Bottom 30mm </v>
      </c>
    </row>
    <row r="55" spans="2:8" x14ac:dyDescent="0.25">
      <c r="B55" t="str">
        <f>TEXT($B$3,0) &amp;" ----- "&amp;'Data - DA'!B66</f>
        <v>Frame: 47 ----- Stem: 100x30  ----- Carbon Aerobar + 40 + bridge + 10</v>
      </c>
      <c r="C55">
        <f t="shared" si="9"/>
        <v>455</v>
      </c>
      <c r="D55">
        <f t="shared" si="7"/>
        <v>425</v>
      </c>
      <c r="E55">
        <f t="shared" si="8"/>
        <v>505</v>
      </c>
      <c r="F55">
        <f>$G$4+'Data - DA'!D66</f>
        <v>582</v>
      </c>
      <c r="G55">
        <f t="shared" si="2"/>
        <v>580</v>
      </c>
      <c r="H55" t="str">
        <f>'Data - DA'!G66</f>
        <v xml:space="preserve">Aerobar Bolts: Top 40mm; Bottom 30mm </v>
      </c>
    </row>
    <row r="56" spans="2:8" x14ac:dyDescent="0.25">
      <c r="B56" t="str">
        <f>TEXT($B$3,0) &amp;" ----- "&amp;'Data - DA'!B67</f>
        <v>Frame: 47 ----- Stem: 100x30  ----- Carbon Aerobar + 40 + bridge + 10 + 5</v>
      </c>
      <c r="C56">
        <f t="shared" si="9"/>
        <v>455</v>
      </c>
      <c r="D56">
        <f t="shared" si="7"/>
        <v>425</v>
      </c>
      <c r="E56">
        <f t="shared" si="8"/>
        <v>505</v>
      </c>
      <c r="F56">
        <f>$G$4+'Data - DA'!D67</f>
        <v>587</v>
      </c>
      <c r="G56">
        <f t="shared" si="2"/>
        <v>585</v>
      </c>
      <c r="H56" t="str">
        <f>'Data - DA'!G67</f>
        <v xml:space="preserve">Aerobar Bolts: Top 45mm; Bottom 30mm </v>
      </c>
    </row>
    <row r="57" spans="2:8" x14ac:dyDescent="0.25">
      <c r="B57" t="str">
        <f>TEXT($B$3,0) &amp;" ----- "&amp;'Data - DA'!B68</f>
        <v>Frame: 47 ----- Stem: 100x60  ----- Carbon Aerobar</v>
      </c>
      <c r="C57">
        <f>$N$8</f>
        <v>445</v>
      </c>
      <c r="D57">
        <f t="shared" ref="D57:D71" si="10">$N$9</f>
        <v>415</v>
      </c>
      <c r="E57">
        <f t="shared" ref="E57:E71" si="11">$N$10</f>
        <v>495</v>
      </c>
      <c r="H57" t="str">
        <f>'Data - DA'!G68</f>
        <v xml:space="preserve">Aerobar Bolts: Top N/A; Bottom N/A </v>
      </c>
    </row>
    <row r="58" spans="2:8" x14ac:dyDescent="0.25">
      <c r="B58" t="str">
        <f>TEXT($B$3,0) &amp;" ----- "&amp;'Data - DA'!B69</f>
        <v>Frame: 47 ----- Stem: 100x60  ----- Carbon Aerobar + 5</v>
      </c>
      <c r="C58">
        <f t="shared" ref="C58:C71" si="12">$N$8</f>
        <v>445</v>
      </c>
      <c r="D58">
        <f t="shared" si="10"/>
        <v>415</v>
      </c>
      <c r="E58">
        <f t="shared" si="11"/>
        <v>495</v>
      </c>
      <c r="F58">
        <f>$G$4+'Data - DA'!D69</f>
        <v>562</v>
      </c>
      <c r="G58">
        <f t="shared" ref="G58:G151" si="13">ROUND(F58/5,0)*5</f>
        <v>560</v>
      </c>
      <c r="H58" t="str">
        <f>'Data - DA'!G69</f>
        <v xml:space="preserve">Aerobar Bolts: Top 45mm; Bottom N/A </v>
      </c>
    </row>
    <row r="59" spans="2:8" x14ac:dyDescent="0.25">
      <c r="B59" t="str">
        <f>TEXT($B$3,0) &amp;" ----- "&amp;'Data - DA'!B70</f>
        <v>Frame: 47 ----- Stem: 100x60  ----- Carbon Aerobar + 10</v>
      </c>
      <c r="C59">
        <f t="shared" si="12"/>
        <v>445</v>
      </c>
      <c r="D59">
        <f t="shared" si="10"/>
        <v>415</v>
      </c>
      <c r="E59">
        <f t="shared" si="11"/>
        <v>495</v>
      </c>
      <c r="F59">
        <f>$G$4+'Data - DA'!D70</f>
        <v>567</v>
      </c>
      <c r="G59">
        <f t="shared" si="13"/>
        <v>565</v>
      </c>
      <c r="H59" t="str">
        <f>'Data - DA'!G70</f>
        <v xml:space="preserve">Aerobar Bolts: Top 50mm; Bottom N/A </v>
      </c>
    </row>
    <row r="60" spans="2:8" x14ac:dyDescent="0.25">
      <c r="B60" t="str">
        <f>TEXT($B$3,0) &amp;" ----- "&amp;'Data - DA'!B71</f>
        <v>Frame: 47 ----- Stem: 100x60  ----- Carbon Aerobar + 5 + 10</v>
      </c>
      <c r="C60">
        <f t="shared" si="12"/>
        <v>445</v>
      </c>
      <c r="D60">
        <f t="shared" si="10"/>
        <v>415</v>
      </c>
      <c r="E60">
        <f t="shared" si="11"/>
        <v>495</v>
      </c>
      <c r="F60">
        <f>$G$4+'Data - DA'!D71</f>
        <v>572</v>
      </c>
      <c r="G60">
        <f t="shared" si="13"/>
        <v>570</v>
      </c>
      <c r="H60" t="str">
        <f>'Data - DA'!G71</f>
        <v xml:space="preserve">Aerobar Bolts: Top 55mm; Bottom N/A </v>
      </c>
    </row>
    <row r="61" spans="2:8" x14ac:dyDescent="0.25">
      <c r="B61" t="str">
        <f>TEXT($B$3,0) &amp;" ----- "&amp;'Data - DA'!B72</f>
        <v>Frame: 47 ----- Stem: 100x60  ----- Carbon Aerobar + 20</v>
      </c>
      <c r="C61">
        <f t="shared" si="12"/>
        <v>445</v>
      </c>
      <c r="D61">
        <f t="shared" si="10"/>
        <v>415</v>
      </c>
      <c r="E61">
        <f t="shared" si="11"/>
        <v>495</v>
      </c>
      <c r="F61">
        <f>$G$4+'Data - DA'!D72</f>
        <v>577</v>
      </c>
      <c r="G61">
        <f t="shared" si="13"/>
        <v>575</v>
      </c>
      <c r="H61" t="str">
        <f>'Data - DA'!G72</f>
        <v xml:space="preserve">Aerobar Bolts: Top 20mm; Bottom 30mm </v>
      </c>
    </row>
    <row r="62" spans="2:8" x14ac:dyDescent="0.25">
      <c r="B62" t="str">
        <f>TEXT($B$3,0) &amp;" ----- "&amp;'Data - DA'!B73</f>
        <v>Frame: 47 ----- Stem: 100x60  ----- Carbon Aerobar + 20 + 5</v>
      </c>
      <c r="C62">
        <f t="shared" si="12"/>
        <v>445</v>
      </c>
      <c r="D62">
        <f t="shared" si="10"/>
        <v>415</v>
      </c>
      <c r="E62">
        <f t="shared" si="11"/>
        <v>495</v>
      </c>
      <c r="F62">
        <f>$G$4+'Data - DA'!D73</f>
        <v>582</v>
      </c>
      <c r="G62">
        <f t="shared" si="13"/>
        <v>580</v>
      </c>
      <c r="H62" t="str">
        <f>'Data - DA'!G73</f>
        <v xml:space="preserve">Aerobar Bolts: Top 25mm; Bottom 30mm </v>
      </c>
    </row>
    <row r="63" spans="2:8" x14ac:dyDescent="0.25">
      <c r="B63" t="str">
        <f>TEXT($B$3,0) &amp;" ----- "&amp;'Data - DA'!B74</f>
        <v>Frame: 47 ----- Stem: 100x60  ----- Carbon Aerobar + 20 + bridge</v>
      </c>
      <c r="C63">
        <f t="shared" si="12"/>
        <v>445</v>
      </c>
      <c r="D63">
        <f t="shared" si="10"/>
        <v>415</v>
      </c>
      <c r="E63">
        <f t="shared" si="11"/>
        <v>495</v>
      </c>
      <c r="F63">
        <f>$G$4+'Data - DA'!D74</f>
        <v>582</v>
      </c>
      <c r="G63">
        <f t="shared" si="13"/>
        <v>580</v>
      </c>
      <c r="H63" t="str">
        <f>'Data - DA'!G74</f>
        <v xml:space="preserve">Aerobar Bolts: Top 25mm; Bottom 30mm </v>
      </c>
    </row>
    <row r="64" spans="2:8" x14ac:dyDescent="0.25">
      <c r="B64" t="str">
        <f>TEXT($B$3,0) &amp;" ----- "&amp;'Data - DA'!B75</f>
        <v>Frame: 47 ----- Stem: 100x60  ----- Carbon Aerobar + 30</v>
      </c>
      <c r="C64">
        <f t="shared" si="12"/>
        <v>445</v>
      </c>
      <c r="D64">
        <f t="shared" si="10"/>
        <v>415</v>
      </c>
      <c r="E64">
        <f t="shared" si="11"/>
        <v>495</v>
      </c>
      <c r="F64">
        <f>$G$4+'Data - DA'!D75</f>
        <v>587</v>
      </c>
      <c r="G64">
        <f t="shared" si="13"/>
        <v>585</v>
      </c>
      <c r="H64" t="str">
        <f>'Data - DA'!G75</f>
        <v xml:space="preserve">Aerobar Bolts: Top 25mm; Bottom 30mm </v>
      </c>
    </row>
    <row r="65" spans="2:8" x14ac:dyDescent="0.25">
      <c r="B65" t="str">
        <f>TEXT($B$3,0) &amp;" ----- "&amp;'Data - DA'!B76</f>
        <v>Frame: 47 ----- Stem: 100x60  ----- Carbon Aerobar + 20 + bridge + 5</v>
      </c>
      <c r="C65">
        <f t="shared" si="12"/>
        <v>445</v>
      </c>
      <c r="D65">
        <f t="shared" si="10"/>
        <v>415</v>
      </c>
      <c r="E65">
        <f t="shared" si="11"/>
        <v>495</v>
      </c>
      <c r="F65">
        <f>$G$4+'Data - DA'!D76</f>
        <v>587</v>
      </c>
      <c r="G65">
        <f t="shared" si="13"/>
        <v>585</v>
      </c>
      <c r="H65" t="str">
        <f>'Data - DA'!G76</f>
        <v xml:space="preserve">Aerobar Bolts: Top 30mm; Bottom 30mm </v>
      </c>
    </row>
    <row r="66" spans="2:8" x14ac:dyDescent="0.25">
      <c r="B66" t="str">
        <f>TEXT($B$3,0) &amp;" ----- "&amp;'Data - DA'!B77</f>
        <v>Frame: 47 ----- Stem: 100x60  ----- Carbon Aerobar + 30 + bridge</v>
      </c>
      <c r="C66">
        <f t="shared" si="12"/>
        <v>445</v>
      </c>
      <c r="D66">
        <f t="shared" si="10"/>
        <v>415</v>
      </c>
      <c r="E66">
        <f t="shared" si="11"/>
        <v>495</v>
      </c>
      <c r="F66">
        <f>$G$4+'Data - DA'!D77</f>
        <v>592</v>
      </c>
      <c r="G66">
        <f t="shared" si="13"/>
        <v>590</v>
      </c>
      <c r="H66" t="str">
        <f>'Data - DA'!G77</f>
        <v xml:space="preserve">Aerobar Bolts: Top 30mm; Bottom 30mm </v>
      </c>
    </row>
    <row r="67" spans="2:8" x14ac:dyDescent="0.25">
      <c r="B67" t="str">
        <f>TEXT($B$3,0) &amp;" ----- "&amp;'Data - DA'!B78</f>
        <v>Frame: 47 ----- Stem: 100x60  ----- Carbon Aerobar + 30 + bridge + 5</v>
      </c>
      <c r="C67">
        <f t="shared" si="12"/>
        <v>445</v>
      </c>
      <c r="D67">
        <f t="shared" si="10"/>
        <v>415</v>
      </c>
      <c r="E67">
        <f t="shared" si="11"/>
        <v>495</v>
      </c>
      <c r="F67">
        <f>$G$4+'Data - DA'!D78</f>
        <v>597</v>
      </c>
      <c r="G67">
        <f t="shared" si="13"/>
        <v>595</v>
      </c>
      <c r="H67" t="str">
        <f>'Data - DA'!G78</f>
        <v xml:space="preserve">Aerobar Bolts: Top 35mm; Bottom 30mm </v>
      </c>
    </row>
    <row r="68" spans="2:8" x14ac:dyDescent="0.25">
      <c r="B68" t="str">
        <f>TEXT($B$3,0) &amp;" ----- "&amp;'Data - DA'!B79</f>
        <v>Frame: 47 ----- Stem: 100x60  ----- Carbon Aerobar + 40 + bridge</v>
      </c>
      <c r="C68">
        <f t="shared" si="12"/>
        <v>445</v>
      </c>
      <c r="D68">
        <f t="shared" si="10"/>
        <v>415</v>
      </c>
      <c r="E68">
        <f t="shared" si="11"/>
        <v>495</v>
      </c>
      <c r="F68">
        <f>$G$4+'Data - DA'!D79</f>
        <v>602</v>
      </c>
      <c r="G68">
        <f t="shared" si="13"/>
        <v>600</v>
      </c>
      <c r="H68" t="str">
        <f>'Data - DA'!G79</f>
        <v xml:space="preserve">Aerobar Bolts: Top 35mm; Bottom 30mm </v>
      </c>
    </row>
    <row r="69" spans="2:8" x14ac:dyDescent="0.25">
      <c r="B69" t="str">
        <f>TEXT($B$3,0) &amp;" ----- "&amp;'Data - DA'!B80</f>
        <v>Frame: 47 ----- Stem: 100x60  ----- Carbon Aerobar + 40 + bridge + 5</v>
      </c>
      <c r="C69">
        <f t="shared" si="12"/>
        <v>445</v>
      </c>
      <c r="D69">
        <f t="shared" si="10"/>
        <v>415</v>
      </c>
      <c r="E69">
        <f t="shared" si="11"/>
        <v>495</v>
      </c>
      <c r="F69">
        <f>$G$4+'Data - DA'!D80</f>
        <v>607</v>
      </c>
      <c r="G69">
        <f t="shared" si="13"/>
        <v>605</v>
      </c>
      <c r="H69" t="str">
        <f>'Data - DA'!G80</f>
        <v xml:space="preserve">Aerobar Bolts: Top 35mm; Bottom 30mm </v>
      </c>
    </row>
    <row r="70" spans="2:8" x14ac:dyDescent="0.25">
      <c r="B70" t="str">
        <f>TEXT($B$3,0) &amp;" ----- "&amp;'Data - DA'!B81</f>
        <v>Frame: 47 ----- Stem: 100x60  ----- Carbon Aerobar + 40 + bridge + 10</v>
      </c>
      <c r="C70">
        <f t="shared" si="12"/>
        <v>445</v>
      </c>
      <c r="D70">
        <f t="shared" si="10"/>
        <v>415</v>
      </c>
      <c r="E70">
        <f t="shared" si="11"/>
        <v>495</v>
      </c>
      <c r="F70">
        <f>$G$4+'Data - DA'!D81</f>
        <v>612</v>
      </c>
      <c r="G70">
        <f t="shared" si="13"/>
        <v>610</v>
      </c>
      <c r="H70" t="str">
        <f>'Data - DA'!G81</f>
        <v xml:space="preserve">Aerobar Bolts: Top 40mm; Bottom 30mm </v>
      </c>
    </row>
    <row r="71" spans="2:8" x14ac:dyDescent="0.25">
      <c r="B71" t="str">
        <f>TEXT($B$3,0) &amp;" ----- "&amp;'Data - DA'!B82</f>
        <v>Frame: 47 ----- Stem: 100x60  ----- Carbon Aerobar + 40 + bridge + 10 + 5</v>
      </c>
      <c r="C71">
        <f t="shared" si="12"/>
        <v>445</v>
      </c>
      <c r="D71">
        <f t="shared" si="10"/>
        <v>415</v>
      </c>
      <c r="E71">
        <f t="shared" si="11"/>
        <v>495</v>
      </c>
      <c r="F71">
        <f>$G$4+'Data - DA'!D82</f>
        <v>617</v>
      </c>
      <c r="G71">
        <f t="shared" si="13"/>
        <v>615</v>
      </c>
      <c r="H71" t="str">
        <f>'Data - DA'!G82</f>
        <v xml:space="preserve">Aerobar Bolts: Top 45mm; Bottom 30mm </v>
      </c>
    </row>
    <row r="72" spans="2:8" x14ac:dyDescent="0.25">
      <c r="B72" t="str">
        <f>TEXT($B$3,0) &amp;" ----- "&amp;'Data - DA'!B83</f>
        <v>Frame: 47 ----- Stem: 90x0  ----- Carbon Aerobar</v>
      </c>
      <c r="C72">
        <f>$O$8</f>
        <v>450</v>
      </c>
      <c r="D72">
        <f t="shared" ref="D72:D86" si="14">$O$9</f>
        <v>420</v>
      </c>
      <c r="E72">
        <f t="shared" ref="E72:E86" si="15">$O$10</f>
        <v>500</v>
      </c>
      <c r="G72">
        <f t="shared" ref="G72:G101" si="16">ROUND(F72/5,0)*5</f>
        <v>0</v>
      </c>
      <c r="H72" t="str">
        <f>'Data - DA'!G83</f>
        <v xml:space="preserve">Aerobar Bolts: Top N/A; Bottom N/A </v>
      </c>
    </row>
    <row r="73" spans="2:8" x14ac:dyDescent="0.25">
      <c r="B73" t="str">
        <f>TEXT($B$3,0) &amp;" ----- "&amp;'Data - DA'!B84</f>
        <v>Frame: 47 ----- Stem: 90x0  ----- Carbon Aerobar + 5</v>
      </c>
      <c r="C73">
        <f t="shared" ref="C73:C86" si="17">$O$8</f>
        <v>450</v>
      </c>
      <c r="D73">
        <f t="shared" si="14"/>
        <v>420</v>
      </c>
      <c r="E73">
        <f t="shared" si="15"/>
        <v>500</v>
      </c>
      <c r="F73">
        <f>$G$4+'Data - DA'!D84</f>
        <v>500</v>
      </c>
      <c r="G73">
        <f t="shared" si="16"/>
        <v>500</v>
      </c>
      <c r="H73" t="str">
        <f>'Data - DA'!G84</f>
        <v xml:space="preserve">Aerobar Bolts: Top 45mm; Bottom N/A </v>
      </c>
    </row>
    <row r="74" spans="2:8" x14ac:dyDescent="0.25">
      <c r="B74" t="str">
        <f>TEXT($B$3,0) &amp;" ----- "&amp;'Data - DA'!B85</f>
        <v>Frame: 47 ----- Stem: 90x0  ----- Carbon Aerobar + 10</v>
      </c>
      <c r="C74">
        <f t="shared" si="17"/>
        <v>450</v>
      </c>
      <c r="D74">
        <f t="shared" si="14"/>
        <v>420</v>
      </c>
      <c r="E74">
        <f t="shared" si="15"/>
        <v>500</v>
      </c>
      <c r="F74">
        <f>$G$4+'Data - DA'!D85</f>
        <v>505</v>
      </c>
      <c r="G74">
        <f t="shared" si="16"/>
        <v>505</v>
      </c>
      <c r="H74" t="str">
        <f>'Data - DA'!G85</f>
        <v xml:space="preserve">Aerobar Bolts: Top 50mm; Bottom N/A </v>
      </c>
    </row>
    <row r="75" spans="2:8" x14ac:dyDescent="0.25">
      <c r="B75" t="str">
        <f>TEXT($B$3,0) &amp;" ----- "&amp;'Data - DA'!B86</f>
        <v>Frame: 47 ----- Stem: 90x0  ----- Carbon Aerobar + 5 + 10</v>
      </c>
      <c r="C75">
        <f t="shared" si="17"/>
        <v>450</v>
      </c>
      <c r="D75">
        <f t="shared" si="14"/>
        <v>420</v>
      </c>
      <c r="E75">
        <f t="shared" si="15"/>
        <v>500</v>
      </c>
      <c r="F75">
        <f>$G$4+'Data - DA'!D86</f>
        <v>510</v>
      </c>
      <c r="G75">
        <f t="shared" si="16"/>
        <v>510</v>
      </c>
      <c r="H75" t="str">
        <f>'Data - DA'!G86</f>
        <v xml:space="preserve">Aerobar Bolts: Top 55mm; Bottom N/A </v>
      </c>
    </row>
    <row r="76" spans="2:8" x14ac:dyDescent="0.25">
      <c r="B76" t="str">
        <f>TEXT($B$3,0) &amp;" ----- "&amp;'Data - DA'!B87</f>
        <v>Frame: 47 ----- Stem: 90x0  ----- Carbon Aerobar + 20</v>
      </c>
      <c r="C76">
        <f t="shared" si="17"/>
        <v>450</v>
      </c>
      <c r="D76">
        <f t="shared" si="14"/>
        <v>420</v>
      </c>
      <c r="E76">
        <f t="shared" si="15"/>
        <v>500</v>
      </c>
      <c r="F76">
        <f>$G$4+'Data - DA'!D87</f>
        <v>515</v>
      </c>
      <c r="G76">
        <f t="shared" si="16"/>
        <v>515</v>
      </c>
      <c r="H76" t="str">
        <f>'Data - DA'!G87</f>
        <v xml:space="preserve">Aerobar Bolts: Top 20mm; Bottom 30mm </v>
      </c>
    </row>
    <row r="77" spans="2:8" x14ac:dyDescent="0.25">
      <c r="B77" t="str">
        <f>TEXT($B$3,0) &amp;" ----- "&amp;'Data - DA'!B88</f>
        <v>Frame: 47 ----- Stem: 90x0  ----- Carbon Aerobar + 20 + 5</v>
      </c>
      <c r="C77">
        <f t="shared" si="17"/>
        <v>450</v>
      </c>
      <c r="D77">
        <f t="shared" si="14"/>
        <v>420</v>
      </c>
      <c r="E77">
        <f t="shared" si="15"/>
        <v>500</v>
      </c>
      <c r="F77">
        <f>$G$4+'Data - DA'!D88</f>
        <v>520</v>
      </c>
      <c r="G77">
        <f t="shared" si="16"/>
        <v>520</v>
      </c>
      <c r="H77" t="str">
        <f>'Data - DA'!G88</f>
        <v xml:space="preserve">Aerobar Bolts: Top 25mm; Bottom 30mm </v>
      </c>
    </row>
    <row r="78" spans="2:8" x14ac:dyDescent="0.25">
      <c r="B78" t="str">
        <f>TEXT($B$3,0) &amp;" ----- "&amp;'Data - DA'!B89</f>
        <v>Frame: 47 ----- Stem: 90x0  ----- Carbon Aerobar + 20 + bridge</v>
      </c>
      <c r="C78">
        <f t="shared" si="17"/>
        <v>450</v>
      </c>
      <c r="D78">
        <f t="shared" si="14"/>
        <v>420</v>
      </c>
      <c r="E78">
        <f t="shared" si="15"/>
        <v>500</v>
      </c>
      <c r="F78">
        <f>$G$4+'Data - DA'!D89</f>
        <v>520</v>
      </c>
      <c r="G78">
        <f t="shared" si="16"/>
        <v>520</v>
      </c>
      <c r="H78" t="str">
        <f>'Data - DA'!G89</f>
        <v xml:space="preserve">Aerobar Bolts: Top 25mm; Bottom 30mm </v>
      </c>
    </row>
    <row r="79" spans="2:8" x14ac:dyDescent="0.25">
      <c r="B79" t="str">
        <f>TEXT($B$3,0) &amp;" ----- "&amp;'Data - DA'!B90</f>
        <v>Frame: 47 ----- Stem: 90x0  ----- Carbon Aerobar + 30</v>
      </c>
      <c r="C79">
        <f t="shared" si="17"/>
        <v>450</v>
      </c>
      <c r="D79">
        <f t="shared" si="14"/>
        <v>420</v>
      </c>
      <c r="E79">
        <f t="shared" si="15"/>
        <v>500</v>
      </c>
      <c r="F79">
        <f>$G$4+'Data - DA'!D90</f>
        <v>525</v>
      </c>
      <c r="G79">
        <f t="shared" si="16"/>
        <v>525</v>
      </c>
      <c r="H79" t="str">
        <f>'Data - DA'!G90</f>
        <v xml:space="preserve">Aerobar Bolts: Top 25mm; Bottom 30mm </v>
      </c>
    </row>
    <row r="80" spans="2:8" x14ac:dyDescent="0.25">
      <c r="B80" t="str">
        <f>TEXT($B$3,0) &amp;" ----- "&amp;'Data - DA'!B91</f>
        <v>Frame: 47 ----- Stem: 90x0  ----- Carbon Aerobar + 20 + bridge + 5</v>
      </c>
      <c r="C80">
        <f t="shared" si="17"/>
        <v>450</v>
      </c>
      <c r="D80">
        <f t="shared" si="14"/>
        <v>420</v>
      </c>
      <c r="E80">
        <f t="shared" si="15"/>
        <v>500</v>
      </c>
      <c r="F80">
        <f>$G$4+'Data - DA'!D91</f>
        <v>525</v>
      </c>
      <c r="G80">
        <f t="shared" si="16"/>
        <v>525</v>
      </c>
      <c r="H80" t="str">
        <f>'Data - DA'!G91</f>
        <v xml:space="preserve">Aerobar Bolts: Top 30mm; Bottom 30mm </v>
      </c>
    </row>
    <row r="81" spans="2:8" x14ac:dyDescent="0.25">
      <c r="B81" t="str">
        <f>TEXT($B$3,0) &amp;" ----- "&amp;'Data - DA'!B92</f>
        <v>Frame: 47 ----- Stem: 90x0  ----- Carbon Aerobar + 30 + bridge</v>
      </c>
      <c r="C81">
        <f t="shared" si="17"/>
        <v>450</v>
      </c>
      <c r="D81">
        <f t="shared" si="14"/>
        <v>420</v>
      </c>
      <c r="E81">
        <f t="shared" si="15"/>
        <v>500</v>
      </c>
      <c r="F81">
        <f>$G$4+'Data - DA'!D92</f>
        <v>530</v>
      </c>
      <c r="G81">
        <f t="shared" si="16"/>
        <v>530</v>
      </c>
      <c r="H81" t="str">
        <f>'Data - DA'!G92</f>
        <v xml:space="preserve">Aerobar Bolts: Top 30mm; Bottom 30mm </v>
      </c>
    </row>
    <row r="82" spans="2:8" x14ac:dyDescent="0.25">
      <c r="B82" t="str">
        <f>TEXT($B$3,0) &amp;" ----- "&amp;'Data - DA'!B93</f>
        <v>Frame: 47 ----- Stem: 90x0  ----- Carbon Aerobar + 30 + bridge + 5</v>
      </c>
      <c r="C82">
        <f t="shared" si="17"/>
        <v>450</v>
      </c>
      <c r="D82">
        <f t="shared" si="14"/>
        <v>420</v>
      </c>
      <c r="E82">
        <f t="shared" si="15"/>
        <v>500</v>
      </c>
      <c r="F82">
        <f>$G$4+'Data - DA'!D93</f>
        <v>535</v>
      </c>
      <c r="G82">
        <f t="shared" si="16"/>
        <v>535</v>
      </c>
      <c r="H82" t="str">
        <f>'Data - DA'!G93</f>
        <v xml:space="preserve">Aerobar Bolts: Top 35mm; Bottom 30mm </v>
      </c>
    </row>
    <row r="83" spans="2:8" x14ac:dyDescent="0.25">
      <c r="B83" t="str">
        <f>TEXT($B$3,0) &amp;" ----- "&amp;'Data - DA'!B94</f>
        <v>Frame: 47 ----- Stem: 90x0  ----- Carbon Aerobar + 40 + bridge</v>
      </c>
      <c r="C83">
        <f t="shared" si="17"/>
        <v>450</v>
      </c>
      <c r="D83">
        <f t="shared" si="14"/>
        <v>420</v>
      </c>
      <c r="E83">
        <f t="shared" si="15"/>
        <v>500</v>
      </c>
      <c r="F83">
        <f>$G$4+'Data - DA'!D94</f>
        <v>540</v>
      </c>
      <c r="G83">
        <f t="shared" si="16"/>
        <v>540</v>
      </c>
      <c r="H83" t="str">
        <f>'Data - DA'!G94</f>
        <v xml:space="preserve">Aerobar Bolts: Top 35mm; Bottom 30mm </v>
      </c>
    </row>
    <row r="84" spans="2:8" x14ac:dyDescent="0.25">
      <c r="B84" t="str">
        <f>TEXT($B$3,0) &amp;" ----- "&amp;'Data - DA'!B95</f>
        <v>Frame: 47 ----- Stem: 90x0  ----- Carbon Aerobar + 40 + bridge + 5</v>
      </c>
      <c r="C84">
        <f t="shared" si="17"/>
        <v>450</v>
      </c>
      <c r="D84">
        <f t="shared" si="14"/>
        <v>420</v>
      </c>
      <c r="E84">
        <f t="shared" si="15"/>
        <v>500</v>
      </c>
      <c r="F84">
        <f>$G$4+'Data - DA'!D95</f>
        <v>545</v>
      </c>
      <c r="G84">
        <f t="shared" si="16"/>
        <v>545</v>
      </c>
      <c r="H84" t="str">
        <f>'Data - DA'!G95</f>
        <v xml:space="preserve">Aerobar Bolts: Top 35mm; Bottom 30mm </v>
      </c>
    </row>
    <row r="85" spans="2:8" x14ac:dyDescent="0.25">
      <c r="B85" t="str">
        <f>TEXT($B$3,0) &amp;" ----- "&amp;'Data - DA'!B96</f>
        <v>Frame: 47 ----- Stem: 90x0  ----- Carbon Aerobar + 40 + bridge + 10</v>
      </c>
      <c r="C85">
        <f t="shared" si="17"/>
        <v>450</v>
      </c>
      <c r="D85">
        <f t="shared" si="14"/>
        <v>420</v>
      </c>
      <c r="E85">
        <f t="shared" si="15"/>
        <v>500</v>
      </c>
      <c r="F85">
        <f>$G$4+'Data - DA'!D96</f>
        <v>550</v>
      </c>
      <c r="G85">
        <f t="shared" si="16"/>
        <v>550</v>
      </c>
      <c r="H85" t="str">
        <f>'Data - DA'!G96</f>
        <v xml:space="preserve">Aerobar Bolts: Top 40mm; Bottom 30mm </v>
      </c>
    </row>
    <row r="86" spans="2:8" x14ac:dyDescent="0.25">
      <c r="B86" t="str">
        <f>TEXT($B$3,0) &amp;" ----- "&amp;'Data - DA'!B97</f>
        <v>Frame: 47 ----- Stem: 90x0  ----- Carbon Aerobar + 40 + bridge + 10 + 5</v>
      </c>
      <c r="C86">
        <f t="shared" si="17"/>
        <v>450</v>
      </c>
      <c r="D86">
        <f t="shared" si="14"/>
        <v>420</v>
      </c>
      <c r="E86">
        <f t="shared" si="15"/>
        <v>500</v>
      </c>
      <c r="F86">
        <f>$G$4+'Data - DA'!D97</f>
        <v>555</v>
      </c>
      <c r="G86">
        <f t="shared" si="16"/>
        <v>555</v>
      </c>
      <c r="H86" t="str">
        <f>'Data - DA'!G97</f>
        <v xml:space="preserve">Aerobar Bolts: Top 45mm; Bottom 30mm </v>
      </c>
    </row>
    <row r="87" spans="2:8" x14ac:dyDescent="0.25">
      <c r="B87" t="str">
        <f>TEXT($B$3,0) &amp;" ----- "&amp;'Data - DA'!B98</f>
        <v>Frame: 47 ----- Stem: 110x0  ----- Carbon Aerobar</v>
      </c>
      <c r="C87">
        <f>$P$8</f>
        <v>470</v>
      </c>
      <c r="D87">
        <f t="shared" ref="D87:D101" si="18">$P$9</f>
        <v>440</v>
      </c>
      <c r="E87">
        <f t="shared" ref="E87:E101" si="19">$P$10</f>
        <v>520</v>
      </c>
      <c r="G87">
        <f t="shared" si="16"/>
        <v>0</v>
      </c>
      <c r="H87" t="str">
        <f>'Data - DA'!G98</f>
        <v xml:space="preserve">Aerobar Bolts: Top N/A; Bottom N/A </v>
      </c>
    </row>
    <row r="88" spans="2:8" x14ac:dyDescent="0.25">
      <c r="B88" t="str">
        <f>TEXT($B$3,0) &amp;" ----- "&amp;'Data - DA'!B99</f>
        <v>Frame: 47 ----- Stem: 110x0  ----- Carbon Aerobar + 5</v>
      </c>
      <c r="C88">
        <f t="shared" ref="C88:C101" si="20">$P$8</f>
        <v>470</v>
      </c>
      <c r="D88">
        <f t="shared" si="18"/>
        <v>440</v>
      </c>
      <c r="E88">
        <f t="shared" si="19"/>
        <v>520</v>
      </c>
      <c r="F88">
        <f>$G$4+'Data - DA'!D99</f>
        <v>500</v>
      </c>
      <c r="G88">
        <f t="shared" si="16"/>
        <v>500</v>
      </c>
      <c r="H88" t="str">
        <f>'Data - DA'!G99</f>
        <v xml:space="preserve">Aerobar Bolts: Top 45mm; Bottom N/A </v>
      </c>
    </row>
    <row r="89" spans="2:8" x14ac:dyDescent="0.25">
      <c r="B89" t="str">
        <f>TEXT($B$3,0) &amp;" ----- "&amp;'Data - DA'!B100</f>
        <v>Frame: 47 ----- Stem: 110x0  ----- Carbon Aerobar + 10</v>
      </c>
      <c r="C89">
        <f t="shared" si="20"/>
        <v>470</v>
      </c>
      <c r="D89">
        <f t="shared" si="18"/>
        <v>440</v>
      </c>
      <c r="E89">
        <f t="shared" si="19"/>
        <v>520</v>
      </c>
      <c r="F89">
        <f>$G$4+'Data - DA'!D100</f>
        <v>505</v>
      </c>
      <c r="G89">
        <f t="shared" si="16"/>
        <v>505</v>
      </c>
      <c r="H89" t="str">
        <f>'Data - DA'!G100</f>
        <v xml:space="preserve">Aerobar Bolts: Top 50mm; Bottom N/A </v>
      </c>
    </row>
    <row r="90" spans="2:8" x14ac:dyDescent="0.25">
      <c r="B90" t="str">
        <f>TEXT($B$3,0) &amp;" ----- "&amp;'Data - DA'!B101</f>
        <v>Frame: 47 ----- Stem: 110x0  ----- Carbon Aerobar + 5 + 10</v>
      </c>
      <c r="C90">
        <f t="shared" si="20"/>
        <v>470</v>
      </c>
      <c r="D90">
        <f t="shared" si="18"/>
        <v>440</v>
      </c>
      <c r="E90">
        <f t="shared" si="19"/>
        <v>520</v>
      </c>
      <c r="F90">
        <f>$G$4+'Data - DA'!D101</f>
        <v>510</v>
      </c>
      <c r="G90">
        <f t="shared" si="16"/>
        <v>510</v>
      </c>
      <c r="H90" t="str">
        <f>'Data - DA'!G101</f>
        <v xml:space="preserve">Aerobar Bolts: Top 55mm; Bottom N/A </v>
      </c>
    </row>
    <row r="91" spans="2:8" x14ac:dyDescent="0.25">
      <c r="B91" t="str">
        <f>TEXT($B$3,0) &amp;" ----- "&amp;'Data - DA'!B102</f>
        <v>Frame: 47 ----- Stem: 110x0  ----- Carbon Aerobar + 20</v>
      </c>
      <c r="C91">
        <f t="shared" si="20"/>
        <v>470</v>
      </c>
      <c r="D91">
        <f t="shared" si="18"/>
        <v>440</v>
      </c>
      <c r="E91">
        <f t="shared" si="19"/>
        <v>520</v>
      </c>
      <c r="F91">
        <f>$G$4+'Data - DA'!D102</f>
        <v>516</v>
      </c>
      <c r="G91">
        <f t="shared" si="16"/>
        <v>515</v>
      </c>
      <c r="H91" t="str">
        <f>'Data - DA'!G102</f>
        <v xml:space="preserve">Aerobar Bolts: Top 20mm; Bottom 30mm </v>
      </c>
    </row>
    <row r="92" spans="2:8" x14ac:dyDescent="0.25">
      <c r="B92" t="str">
        <f>TEXT($B$3,0) &amp;" ----- "&amp;'Data - DA'!B103</f>
        <v>Frame: 47 ----- Stem: 110x0  ----- Carbon Aerobar + 20 + 5</v>
      </c>
      <c r="C92">
        <f t="shared" si="20"/>
        <v>470</v>
      </c>
      <c r="D92">
        <f t="shared" si="18"/>
        <v>440</v>
      </c>
      <c r="E92">
        <f t="shared" si="19"/>
        <v>520</v>
      </c>
      <c r="F92">
        <f>$G$4+'Data - DA'!D103</f>
        <v>520</v>
      </c>
      <c r="G92">
        <f t="shared" si="16"/>
        <v>520</v>
      </c>
      <c r="H92" t="str">
        <f>'Data - DA'!G103</f>
        <v xml:space="preserve">Aerobar Bolts: Top 25mm; Bottom 30mm </v>
      </c>
    </row>
    <row r="93" spans="2:8" x14ac:dyDescent="0.25">
      <c r="B93" t="str">
        <f>TEXT($B$3,0) &amp;" ----- "&amp;'Data - DA'!B104</f>
        <v>Frame: 47 ----- Stem: 110x0  ----- Carbon Aerobar + 20 + bridge</v>
      </c>
      <c r="C93">
        <f t="shared" si="20"/>
        <v>470</v>
      </c>
      <c r="D93">
        <f t="shared" si="18"/>
        <v>440</v>
      </c>
      <c r="E93">
        <f t="shared" si="19"/>
        <v>520</v>
      </c>
      <c r="F93">
        <f>$G$4+'Data - DA'!D104</f>
        <v>520</v>
      </c>
      <c r="G93">
        <f t="shared" si="16"/>
        <v>520</v>
      </c>
      <c r="H93" t="str">
        <f>'Data - DA'!G104</f>
        <v xml:space="preserve">Aerobar Bolts: Top 25mm; Bottom 30mm </v>
      </c>
    </row>
    <row r="94" spans="2:8" x14ac:dyDescent="0.25">
      <c r="B94" t="str">
        <f>TEXT($B$3,0) &amp;" ----- "&amp;'Data - DA'!B105</f>
        <v>Frame: 47 ----- Stem: 110x0  ----- Carbon Aerobar + 30</v>
      </c>
      <c r="C94">
        <f t="shared" si="20"/>
        <v>470</v>
      </c>
      <c r="D94">
        <f t="shared" si="18"/>
        <v>440</v>
      </c>
      <c r="E94">
        <f t="shared" si="19"/>
        <v>520</v>
      </c>
      <c r="F94">
        <f>$G$4+'Data - DA'!D105</f>
        <v>525</v>
      </c>
      <c r="G94">
        <f t="shared" si="16"/>
        <v>525</v>
      </c>
      <c r="H94" t="str">
        <f>'Data - DA'!G105</f>
        <v xml:space="preserve">Aerobar Bolts: Top 25mm; Bottom 30mm </v>
      </c>
    </row>
    <row r="95" spans="2:8" x14ac:dyDescent="0.25">
      <c r="B95" t="str">
        <f>TEXT($B$3,0) &amp;" ----- "&amp;'Data - DA'!B106</f>
        <v>Frame: 47 ----- Stem: 110x0  ----- Carbon Aerobar + 20 + bridge + 5</v>
      </c>
      <c r="C95">
        <f t="shared" si="20"/>
        <v>470</v>
      </c>
      <c r="D95">
        <f t="shared" si="18"/>
        <v>440</v>
      </c>
      <c r="E95">
        <f t="shared" si="19"/>
        <v>520</v>
      </c>
      <c r="F95">
        <f>$G$4+'Data - DA'!D106</f>
        <v>525</v>
      </c>
      <c r="G95">
        <f t="shared" si="16"/>
        <v>525</v>
      </c>
      <c r="H95" t="str">
        <f>'Data - DA'!G106</f>
        <v xml:space="preserve">Aerobar Bolts: Top 30mm; Bottom 30mm </v>
      </c>
    </row>
    <row r="96" spans="2:8" x14ac:dyDescent="0.25">
      <c r="B96" t="str">
        <f>TEXT($B$3,0) &amp;" ----- "&amp;'Data - DA'!B107</f>
        <v>Frame: 47 ----- Stem: 110x0  ----- Carbon Aerobar + 30 + bridge</v>
      </c>
      <c r="C96">
        <f t="shared" si="20"/>
        <v>470</v>
      </c>
      <c r="D96">
        <f t="shared" si="18"/>
        <v>440</v>
      </c>
      <c r="E96">
        <f t="shared" si="19"/>
        <v>520</v>
      </c>
      <c r="F96">
        <f>$G$4+'Data - DA'!D107</f>
        <v>530</v>
      </c>
      <c r="G96">
        <f t="shared" si="16"/>
        <v>530</v>
      </c>
      <c r="H96" t="str">
        <f>'Data - DA'!G107</f>
        <v xml:space="preserve">Aerobar Bolts: Top 30mm; Bottom 30mm </v>
      </c>
    </row>
    <row r="97" spans="2:8" x14ac:dyDescent="0.25">
      <c r="B97" t="str">
        <f>TEXT($B$3,0) &amp;" ----- "&amp;'Data - DA'!B108</f>
        <v>Frame: 47 ----- Stem: 110x0  ----- Carbon Aerobar + 30 + bridge + 5</v>
      </c>
      <c r="C97">
        <f t="shared" si="20"/>
        <v>470</v>
      </c>
      <c r="D97">
        <f t="shared" si="18"/>
        <v>440</v>
      </c>
      <c r="E97">
        <f t="shared" si="19"/>
        <v>520</v>
      </c>
      <c r="F97">
        <f>$G$4+'Data - DA'!D108</f>
        <v>535</v>
      </c>
      <c r="G97">
        <f t="shared" si="16"/>
        <v>535</v>
      </c>
      <c r="H97" t="str">
        <f>'Data - DA'!G108</f>
        <v xml:space="preserve">Aerobar Bolts: Top 35mm; Bottom 30mm </v>
      </c>
    </row>
    <row r="98" spans="2:8" x14ac:dyDescent="0.25">
      <c r="B98" t="str">
        <f>TEXT($B$3,0) &amp;" ----- "&amp;'Data - DA'!B109</f>
        <v>Frame: 47 ----- Stem: 110x0  ----- Carbon Aerobar + 40 + bridge</v>
      </c>
      <c r="C98">
        <f t="shared" si="20"/>
        <v>470</v>
      </c>
      <c r="D98">
        <f t="shared" si="18"/>
        <v>440</v>
      </c>
      <c r="E98">
        <f t="shared" si="19"/>
        <v>520</v>
      </c>
      <c r="F98">
        <f>$G$4+'Data - DA'!D109</f>
        <v>540</v>
      </c>
      <c r="G98">
        <f t="shared" si="16"/>
        <v>540</v>
      </c>
      <c r="H98" t="str">
        <f>'Data - DA'!G109</f>
        <v xml:space="preserve">Aerobar Bolts: Top 35mm; Bottom 30mm </v>
      </c>
    </row>
    <row r="99" spans="2:8" x14ac:dyDescent="0.25">
      <c r="B99" t="str">
        <f>TEXT($B$3,0) &amp;" ----- "&amp;'Data - DA'!B110</f>
        <v>Frame: 47 ----- Stem: 110x0  ----- Carbon Aerobar + 40 + bridge + 5</v>
      </c>
      <c r="C99">
        <f t="shared" si="20"/>
        <v>470</v>
      </c>
      <c r="D99">
        <f t="shared" si="18"/>
        <v>440</v>
      </c>
      <c r="E99">
        <f t="shared" si="19"/>
        <v>520</v>
      </c>
      <c r="F99">
        <f>$G$4+'Data - DA'!D110</f>
        <v>545</v>
      </c>
      <c r="G99">
        <f t="shared" si="16"/>
        <v>545</v>
      </c>
      <c r="H99" t="str">
        <f>'Data - DA'!G110</f>
        <v xml:space="preserve">Aerobar Bolts: Top 35mm; Bottom 30mm </v>
      </c>
    </row>
    <row r="100" spans="2:8" x14ac:dyDescent="0.25">
      <c r="B100" t="str">
        <f>TEXT($B$3,0) &amp;" ----- "&amp;'Data - DA'!B111</f>
        <v>Frame: 47 ----- Stem: 110x0  ----- Carbon Aerobar + 40 + bridge + 10</v>
      </c>
      <c r="C100">
        <f t="shared" si="20"/>
        <v>470</v>
      </c>
      <c r="D100">
        <f t="shared" si="18"/>
        <v>440</v>
      </c>
      <c r="E100">
        <f t="shared" si="19"/>
        <v>520</v>
      </c>
      <c r="F100">
        <f>$G$4+'Data - DA'!D111</f>
        <v>550</v>
      </c>
      <c r="G100">
        <f t="shared" si="16"/>
        <v>550</v>
      </c>
      <c r="H100" t="str">
        <f>'Data - DA'!G111</f>
        <v xml:space="preserve">Aerobar Bolts: Top 40mm; Bottom 30mm </v>
      </c>
    </row>
    <row r="101" spans="2:8" x14ac:dyDescent="0.25">
      <c r="B101" t="str">
        <f>TEXT($B$3,0) &amp;" ----- "&amp;'Data - DA'!B112</f>
        <v>Frame: 47 ----- Stem: 110x0  ----- Carbon Aerobar + 40 + bridge + 10 + 5</v>
      </c>
      <c r="C101">
        <f t="shared" si="20"/>
        <v>470</v>
      </c>
      <c r="D101">
        <f t="shared" si="18"/>
        <v>440</v>
      </c>
      <c r="E101">
        <f t="shared" si="19"/>
        <v>520</v>
      </c>
      <c r="F101">
        <f>$G$4+'Data - DA'!D112</f>
        <v>555</v>
      </c>
      <c r="G101">
        <f t="shared" si="16"/>
        <v>555</v>
      </c>
      <c r="H101" t="str">
        <f>'Data - DA'!G112</f>
        <v xml:space="preserve">Aerobar Bolts: Top 45mm; Bottom 30mm </v>
      </c>
    </row>
    <row r="102" spans="2:8" x14ac:dyDescent="0.25">
      <c r="B102" t="str">
        <f>TEXT($B$3,0) &amp;" ----- "&amp;'Data - DA'!B113</f>
        <v>Frame: 47 ----- Stem: 70x30  ----- Aluminium Aerobar</v>
      </c>
      <c r="C102">
        <f>$K$8</f>
        <v>425</v>
      </c>
      <c r="D102">
        <f t="shared" ref="D102:D116" si="21">$K$9</f>
        <v>395</v>
      </c>
      <c r="E102">
        <f t="shared" ref="E102:E116" si="22">$K$10</f>
        <v>475</v>
      </c>
      <c r="F102">
        <f>$G$4+'Data - DA'!D113</f>
        <v>541</v>
      </c>
      <c r="G102">
        <f t="shared" si="13"/>
        <v>540</v>
      </c>
      <c r="H102" t="str">
        <f>'Data - DA'!G113</f>
        <v xml:space="preserve">Aerobar Bolts: Top 20mm; Bottom N/A </v>
      </c>
    </row>
    <row r="103" spans="2:8" x14ac:dyDescent="0.25">
      <c r="B103" t="str">
        <f>TEXT($B$3,0) &amp;" ----- "&amp;'Data - DA'!B114</f>
        <v>Frame: 47 ----- Stem: 70x30  ----- Aluminium Aerobar + 5</v>
      </c>
      <c r="C103">
        <f t="shared" ref="C103:C116" si="23">$K$8</f>
        <v>425</v>
      </c>
      <c r="D103">
        <f t="shared" si="21"/>
        <v>395</v>
      </c>
      <c r="E103">
        <f t="shared" si="22"/>
        <v>475</v>
      </c>
      <c r="F103">
        <f>$G$4+'Data - DA'!D114</f>
        <v>546</v>
      </c>
      <c r="G103">
        <f t="shared" si="13"/>
        <v>545</v>
      </c>
      <c r="H103" t="str">
        <f>'Data - DA'!G114</f>
        <v xml:space="preserve">Aerobar Bolts: Top 25mm; Bottom N/A </v>
      </c>
    </row>
    <row r="104" spans="2:8" x14ac:dyDescent="0.25">
      <c r="B104" t="str">
        <f>TEXT($B$3,0) &amp;" ----- "&amp;'Data - DA'!B115</f>
        <v>Frame: 47 ----- Stem: 70x30  ----- Aluminium Aerobar + 10</v>
      </c>
      <c r="C104">
        <f t="shared" si="23"/>
        <v>425</v>
      </c>
      <c r="D104">
        <f t="shared" si="21"/>
        <v>395</v>
      </c>
      <c r="E104">
        <f t="shared" si="22"/>
        <v>475</v>
      </c>
      <c r="F104">
        <f>$G$4+'Data - DA'!D115</f>
        <v>551</v>
      </c>
      <c r="G104">
        <f t="shared" si="13"/>
        <v>550</v>
      </c>
      <c r="H104" t="str">
        <f>'Data - DA'!G115</f>
        <v xml:space="preserve">Aerobar Bolts: Top 30mm; Bottom N/A </v>
      </c>
    </row>
    <row r="105" spans="2:8" x14ac:dyDescent="0.25">
      <c r="B105" t="str">
        <f>TEXT($B$3,0) &amp;" ----- "&amp;'Data - DA'!B116</f>
        <v>Frame: 47 ----- Stem: 70x30  ----- Aluminium Aerobar + 5 + 10</v>
      </c>
      <c r="C105">
        <f t="shared" si="23"/>
        <v>425</v>
      </c>
      <c r="D105">
        <f t="shared" si="21"/>
        <v>395</v>
      </c>
      <c r="E105">
        <f t="shared" si="22"/>
        <v>475</v>
      </c>
      <c r="F105">
        <f>$G$4+'Data - DA'!D116</f>
        <v>556</v>
      </c>
      <c r="G105">
        <f t="shared" si="13"/>
        <v>555</v>
      </c>
      <c r="H105" t="str">
        <f>'Data - DA'!G116</f>
        <v xml:space="preserve">Aerobar Bolts: Top 35mm; Bottom N/A </v>
      </c>
    </row>
    <row r="106" spans="2:8" x14ac:dyDescent="0.25">
      <c r="B106" t="str">
        <f>TEXT($B$3,0) &amp;" ----- "&amp;'Data - DA'!B117</f>
        <v>Frame: 47 ----- Stem: 70x30  ----- Aluminium Aerobar + 20</v>
      </c>
      <c r="C106">
        <f t="shared" si="23"/>
        <v>425</v>
      </c>
      <c r="D106">
        <f t="shared" si="21"/>
        <v>395</v>
      </c>
      <c r="E106">
        <f t="shared" si="22"/>
        <v>475</v>
      </c>
      <c r="F106">
        <f>$G$4+'Data - DA'!D117</f>
        <v>561</v>
      </c>
      <c r="G106">
        <f t="shared" si="13"/>
        <v>560</v>
      </c>
      <c r="H106" t="str">
        <f>'Data - DA'!G117</f>
        <v xml:space="preserve">Aerobar Bolts: Top 20mm; Bottom 15mm </v>
      </c>
    </row>
    <row r="107" spans="2:8" x14ac:dyDescent="0.25">
      <c r="B107" t="str">
        <f>TEXT($B$3,0) &amp;" ----- "&amp;'Data - DA'!B118</f>
        <v>Frame: 47 ----- Stem: 70x30  ----- Aluminium Aerobar + 20 + 5</v>
      </c>
      <c r="C107">
        <f t="shared" si="23"/>
        <v>425</v>
      </c>
      <c r="D107">
        <f t="shared" si="21"/>
        <v>395</v>
      </c>
      <c r="E107">
        <f t="shared" si="22"/>
        <v>475</v>
      </c>
      <c r="F107">
        <f>$G$4+'Data - DA'!D118</f>
        <v>566</v>
      </c>
      <c r="G107">
        <f t="shared" si="13"/>
        <v>565</v>
      </c>
      <c r="H107" t="str">
        <f>'Data - DA'!G118</f>
        <v xml:space="preserve">Aerobar Bolts: Top 25mm; Bottom 15mm </v>
      </c>
    </row>
    <row r="108" spans="2:8" x14ac:dyDescent="0.25">
      <c r="B108" t="str">
        <f>TEXT($B$3,0) &amp;" ----- "&amp;'Data - DA'!B119</f>
        <v>Frame: 47 ----- Stem: 70x30  ----- Aluminium Aerobar + 20 + bridge</v>
      </c>
      <c r="C108">
        <f t="shared" si="23"/>
        <v>425</v>
      </c>
      <c r="D108">
        <f t="shared" si="21"/>
        <v>395</v>
      </c>
      <c r="E108">
        <f t="shared" si="22"/>
        <v>475</v>
      </c>
      <c r="F108">
        <f>$G$4+'Data - DA'!D119</f>
        <v>566</v>
      </c>
      <c r="G108">
        <f t="shared" si="13"/>
        <v>565</v>
      </c>
      <c r="H108" t="str">
        <f>'Data - DA'!G119</f>
        <v xml:space="preserve">Aerobar Bolts: Top 25mm; Bottom 15mm </v>
      </c>
    </row>
    <row r="109" spans="2:8" x14ac:dyDescent="0.25">
      <c r="B109" t="str">
        <f>TEXT($B$3,0) &amp;" ----- "&amp;'Data - DA'!B120</f>
        <v>Frame: 47 ----- Stem: 70x30  ----- Aluminium Aerobar + 30</v>
      </c>
      <c r="C109">
        <f t="shared" si="23"/>
        <v>425</v>
      </c>
      <c r="D109">
        <f t="shared" si="21"/>
        <v>395</v>
      </c>
      <c r="E109">
        <f t="shared" si="22"/>
        <v>475</v>
      </c>
      <c r="F109">
        <f>$G$4+'Data - DA'!D120</f>
        <v>571</v>
      </c>
      <c r="G109">
        <f t="shared" si="13"/>
        <v>570</v>
      </c>
      <c r="H109" t="str">
        <f>'Data - DA'!G120</f>
        <v xml:space="preserve">Aerobar Bolts: Top 25mm; Bottom 15mm </v>
      </c>
    </row>
    <row r="110" spans="2:8" x14ac:dyDescent="0.25">
      <c r="B110" t="str">
        <f>TEXT($B$3,0) &amp;" ----- "&amp;'Data - DA'!B121</f>
        <v>Frame: 47 ----- Stem: 70x30  ----- Aluminium Aerobar + 20 + bridge + 5</v>
      </c>
      <c r="C110">
        <f t="shared" si="23"/>
        <v>425</v>
      </c>
      <c r="D110">
        <f t="shared" si="21"/>
        <v>395</v>
      </c>
      <c r="E110">
        <f t="shared" si="22"/>
        <v>475</v>
      </c>
      <c r="F110">
        <f>$G$4+'Data - DA'!D121</f>
        <v>571</v>
      </c>
      <c r="G110">
        <f t="shared" si="13"/>
        <v>570</v>
      </c>
      <c r="H110" t="str">
        <f>'Data - DA'!G121</f>
        <v xml:space="preserve">Aerobar Bolts: Top 25mm; Bottom 15mm </v>
      </c>
    </row>
    <row r="111" spans="2:8" x14ac:dyDescent="0.25">
      <c r="B111" t="str">
        <f>TEXT($B$3,0) &amp;" ----- "&amp;'Data - DA'!B122</f>
        <v>Frame: 47 ----- Stem: 70x30  ----- Aluminium Aerobar + 30 + bridge</v>
      </c>
      <c r="C111">
        <f t="shared" si="23"/>
        <v>425</v>
      </c>
      <c r="D111">
        <f t="shared" si="21"/>
        <v>395</v>
      </c>
      <c r="E111">
        <f t="shared" si="22"/>
        <v>475</v>
      </c>
      <c r="F111">
        <f>$G$4+'Data - DA'!D122</f>
        <v>576</v>
      </c>
      <c r="G111">
        <f t="shared" si="13"/>
        <v>575</v>
      </c>
      <c r="H111" t="str">
        <f>'Data - DA'!G122</f>
        <v xml:space="preserve">Aerobar Bolts: Top 30mm; Bottom 15mm </v>
      </c>
    </row>
    <row r="112" spans="2:8" x14ac:dyDescent="0.25">
      <c r="B112" t="str">
        <f>TEXT($B$3,0) &amp;" ----- "&amp;'Data - DA'!B123</f>
        <v>Frame: 47 ----- Stem: 70x30  ----- Aluminium Aerobar + 30 + bridge + 5</v>
      </c>
      <c r="C112">
        <f t="shared" si="23"/>
        <v>425</v>
      </c>
      <c r="D112">
        <f t="shared" si="21"/>
        <v>395</v>
      </c>
      <c r="E112">
        <f t="shared" si="22"/>
        <v>475</v>
      </c>
      <c r="F112">
        <f>$G$4+'Data - DA'!D123</f>
        <v>581</v>
      </c>
      <c r="G112">
        <f t="shared" si="13"/>
        <v>580</v>
      </c>
      <c r="H112" t="str">
        <f>'Data - DA'!G123</f>
        <v xml:space="preserve">Aerobar Bolts: Top 30mm; Bottom 15mm </v>
      </c>
    </row>
    <row r="113" spans="2:8" x14ac:dyDescent="0.25">
      <c r="B113" t="str">
        <f>TEXT($B$3,0) &amp;" ----- "&amp;'Data - DA'!B124</f>
        <v>Frame: 47 ----- Stem: 70x30  ----- Aluminium Aerobar + 40 + bridge</v>
      </c>
      <c r="C113">
        <f t="shared" si="23"/>
        <v>425</v>
      </c>
      <c r="D113">
        <f t="shared" si="21"/>
        <v>395</v>
      </c>
      <c r="E113">
        <f t="shared" si="22"/>
        <v>475</v>
      </c>
      <c r="F113">
        <f>$G$4+'Data - DA'!D124</f>
        <v>586</v>
      </c>
      <c r="G113">
        <f t="shared" si="13"/>
        <v>585</v>
      </c>
      <c r="H113" t="str">
        <f>'Data - DA'!G124</f>
        <v xml:space="preserve">Aerobar Bolts: Top 35mm; Bottom 15mm </v>
      </c>
    </row>
    <row r="114" spans="2:8" x14ac:dyDescent="0.25">
      <c r="B114" t="str">
        <f>TEXT($B$3,0) &amp;" ----- "&amp;'Data - DA'!B125</f>
        <v>Frame: 47 ----- Stem: 70x30  ----- Aluminium Aerobar + 40 + bridge + 5</v>
      </c>
      <c r="C114">
        <f t="shared" si="23"/>
        <v>425</v>
      </c>
      <c r="D114">
        <f t="shared" si="21"/>
        <v>395</v>
      </c>
      <c r="E114">
        <f t="shared" si="22"/>
        <v>475</v>
      </c>
      <c r="F114">
        <f>$G$4+'Data - DA'!D125</f>
        <v>591</v>
      </c>
      <c r="G114">
        <f t="shared" si="13"/>
        <v>590</v>
      </c>
      <c r="H114" t="str">
        <f>'Data - DA'!G125</f>
        <v xml:space="preserve">Aerobar Bolts: Top 35mm; Bottom 15mm </v>
      </c>
    </row>
    <row r="115" spans="2:8" x14ac:dyDescent="0.25">
      <c r="B115" t="str">
        <f>TEXT($B$3,0) &amp;" ----- "&amp;'Data - DA'!B126</f>
        <v>Frame: 47 ----- Stem: 70x30  ----- Aluminium Aerobar + 40 + bridge + 10</v>
      </c>
      <c r="C115">
        <f t="shared" si="23"/>
        <v>425</v>
      </c>
      <c r="D115">
        <f t="shared" si="21"/>
        <v>395</v>
      </c>
      <c r="E115">
        <f t="shared" si="22"/>
        <v>475</v>
      </c>
      <c r="F115">
        <f>$G$4+'Data - DA'!D126</f>
        <v>596</v>
      </c>
      <c r="G115">
        <f t="shared" si="13"/>
        <v>595</v>
      </c>
      <c r="H115" t="str">
        <f>'Data - DA'!G126</f>
        <v xml:space="preserve">Aerobar Bolts: Top 35mm; Bottom 15mm </v>
      </c>
    </row>
    <row r="116" spans="2:8" x14ac:dyDescent="0.25">
      <c r="B116" t="str">
        <f>TEXT($B$3,0) &amp;" ----- "&amp;'Data - DA'!B127</f>
        <v>Frame: 47 ----- Stem: 70x30  ----- Aluminium Aerobar + 40 + bridge + 10 + 5</v>
      </c>
      <c r="C116">
        <f t="shared" si="23"/>
        <v>425</v>
      </c>
      <c r="D116">
        <f t="shared" si="21"/>
        <v>395</v>
      </c>
      <c r="E116">
        <f t="shared" si="22"/>
        <v>475</v>
      </c>
      <c r="F116">
        <f>$G$4+'Data - DA'!D127</f>
        <v>601</v>
      </c>
      <c r="G116">
        <f t="shared" si="13"/>
        <v>600</v>
      </c>
      <c r="H116" t="str">
        <f>'Data - DA'!G127</f>
        <v xml:space="preserve">Aerobar Bolts: Top 35mm; Bottom 25mm </v>
      </c>
    </row>
    <row r="117" spans="2:8" x14ac:dyDescent="0.25">
      <c r="B117" t="str">
        <f>TEXT($B$3,0) &amp;" ----- "&amp;'Data - DA'!B128</f>
        <v>Frame: 47 ----- Stem: 70x60  ----- Aluminium Aerobar</v>
      </c>
      <c r="C117">
        <f>$L$8</f>
        <v>415</v>
      </c>
      <c r="D117">
        <f t="shared" ref="D117:D131" si="24">$L$9</f>
        <v>385</v>
      </c>
      <c r="E117">
        <f t="shared" ref="E117:E131" si="25">$L$10</f>
        <v>465</v>
      </c>
      <c r="F117">
        <f>$G$4+'Data - DA'!D128</f>
        <v>572</v>
      </c>
      <c r="G117">
        <f t="shared" si="13"/>
        <v>570</v>
      </c>
      <c r="H117" t="str">
        <f>'Data - DA'!G128</f>
        <v xml:space="preserve">Aerobar Bolts: Top 20mm; Bottom N/A </v>
      </c>
    </row>
    <row r="118" spans="2:8" x14ac:dyDescent="0.25">
      <c r="B118" t="str">
        <f>TEXT($B$3,0) &amp;" ----- "&amp;'Data - DA'!B129</f>
        <v>Frame: 47 ----- Stem: 70x60  ----- Aluminium Aerobar + 5</v>
      </c>
      <c r="C118">
        <f t="shared" ref="C118:C131" si="26">$L$8</f>
        <v>415</v>
      </c>
      <c r="D118">
        <f t="shared" si="24"/>
        <v>385</v>
      </c>
      <c r="E118">
        <f t="shared" si="25"/>
        <v>465</v>
      </c>
      <c r="F118">
        <f>$G$4+'Data - DA'!D129</f>
        <v>577</v>
      </c>
      <c r="G118">
        <f t="shared" si="13"/>
        <v>575</v>
      </c>
      <c r="H118" t="str">
        <f>'Data - DA'!G129</f>
        <v xml:space="preserve">Aerobar Bolts: Top 25mm; Bottom N/A </v>
      </c>
    </row>
    <row r="119" spans="2:8" x14ac:dyDescent="0.25">
      <c r="B119" t="str">
        <f>TEXT($B$3,0) &amp;" ----- "&amp;'Data - DA'!B130</f>
        <v>Frame: 47 ----- Stem: 70x60  ----- Aluminium Aerobar + 10</v>
      </c>
      <c r="C119">
        <f t="shared" si="26"/>
        <v>415</v>
      </c>
      <c r="D119">
        <f t="shared" si="24"/>
        <v>385</v>
      </c>
      <c r="E119">
        <f t="shared" si="25"/>
        <v>465</v>
      </c>
      <c r="F119">
        <f>$G$4+'Data - DA'!D130</f>
        <v>582</v>
      </c>
      <c r="G119">
        <f t="shared" si="13"/>
        <v>580</v>
      </c>
      <c r="H119" t="str">
        <f>'Data - DA'!G130</f>
        <v xml:space="preserve">Aerobar Bolts: Top 30mm; Bottom N/A </v>
      </c>
    </row>
    <row r="120" spans="2:8" x14ac:dyDescent="0.25">
      <c r="B120" t="str">
        <f>TEXT($B$3,0) &amp;" ----- "&amp;'Data - DA'!B131</f>
        <v>Frame: 47 ----- Stem: 70x60  ----- Aluminium Aerobar + 5 + 10</v>
      </c>
      <c r="C120">
        <f t="shared" si="26"/>
        <v>415</v>
      </c>
      <c r="D120">
        <f t="shared" si="24"/>
        <v>385</v>
      </c>
      <c r="E120">
        <f t="shared" si="25"/>
        <v>465</v>
      </c>
      <c r="F120">
        <f>$G$4+'Data - DA'!D131</f>
        <v>587</v>
      </c>
      <c r="G120">
        <f t="shared" si="13"/>
        <v>585</v>
      </c>
      <c r="H120" t="str">
        <f>'Data - DA'!G131</f>
        <v xml:space="preserve">Aerobar Bolts: Top 35mm; Bottom N/A </v>
      </c>
    </row>
    <row r="121" spans="2:8" x14ac:dyDescent="0.25">
      <c r="B121" t="str">
        <f>TEXT($B$3,0) &amp;" ----- "&amp;'Data - DA'!B132</f>
        <v>Frame: 47 ----- Stem: 70x60  ----- Aluminium Aerobar + 20</v>
      </c>
      <c r="C121">
        <f t="shared" si="26"/>
        <v>415</v>
      </c>
      <c r="D121">
        <f t="shared" si="24"/>
        <v>385</v>
      </c>
      <c r="E121">
        <f t="shared" si="25"/>
        <v>465</v>
      </c>
      <c r="F121">
        <f>$G$4+'Data - DA'!D132</f>
        <v>592</v>
      </c>
      <c r="G121">
        <f t="shared" si="13"/>
        <v>590</v>
      </c>
      <c r="H121" t="str">
        <f>'Data - DA'!G132</f>
        <v xml:space="preserve">Aerobar Bolts: Top 20mm; Bottom 15mm </v>
      </c>
    </row>
    <row r="122" spans="2:8" x14ac:dyDescent="0.25">
      <c r="B122" t="str">
        <f>TEXT($B$3,0) &amp;" ----- "&amp;'Data - DA'!B133</f>
        <v>Frame: 47 ----- Stem: 70x60  ----- Aluminium Aerobar + 20 + 5</v>
      </c>
      <c r="C122">
        <f t="shared" si="26"/>
        <v>415</v>
      </c>
      <c r="D122">
        <f t="shared" si="24"/>
        <v>385</v>
      </c>
      <c r="E122">
        <f t="shared" si="25"/>
        <v>465</v>
      </c>
      <c r="F122">
        <f>$G$4+'Data - DA'!D133</f>
        <v>597</v>
      </c>
      <c r="G122">
        <f t="shared" si="13"/>
        <v>595</v>
      </c>
      <c r="H122" t="str">
        <f>'Data - DA'!G133</f>
        <v xml:space="preserve">Aerobar Bolts: Top 25mm; Bottom 15mm </v>
      </c>
    </row>
    <row r="123" spans="2:8" x14ac:dyDescent="0.25">
      <c r="B123" t="str">
        <f>TEXT($B$3,0) &amp;" ----- "&amp;'Data - DA'!B134</f>
        <v>Frame: 47 ----- Stem: 70x60  ----- Aluminium Aerobar + 20 + bridge</v>
      </c>
      <c r="C123">
        <f t="shared" si="26"/>
        <v>415</v>
      </c>
      <c r="D123">
        <f t="shared" si="24"/>
        <v>385</v>
      </c>
      <c r="E123">
        <f t="shared" si="25"/>
        <v>465</v>
      </c>
      <c r="F123">
        <f>$G$4+'Data - DA'!D134</f>
        <v>597</v>
      </c>
      <c r="G123">
        <f t="shared" si="13"/>
        <v>595</v>
      </c>
      <c r="H123" t="str">
        <f>'Data - DA'!G134</f>
        <v xml:space="preserve">Aerobar Bolts: Top 25mm; Bottom 15mm </v>
      </c>
    </row>
    <row r="124" spans="2:8" x14ac:dyDescent="0.25">
      <c r="B124" t="str">
        <f>TEXT($B$3,0) &amp;" ----- "&amp;'Data - DA'!B135</f>
        <v>Frame: 47 ----- Stem: 70x60  ----- Aluminium Aerobar + 30</v>
      </c>
      <c r="C124">
        <f t="shared" si="26"/>
        <v>415</v>
      </c>
      <c r="D124">
        <f t="shared" si="24"/>
        <v>385</v>
      </c>
      <c r="E124">
        <f t="shared" si="25"/>
        <v>465</v>
      </c>
      <c r="F124">
        <f>$G$4+'Data - DA'!D135</f>
        <v>602</v>
      </c>
      <c r="G124">
        <f t="shared" si="13"/>
        <v>600</v>
      </c>
      <c r="H124" t="str">
        <f>'Data - DA'!G135</f>
        <v xml:space="preserve">Aerobar Bolts: Top 25mm; Bottom 15mm </v>
      </c>
    </row>
    <row r="125" spans="2:8" x14ac:dyDescent="0.25">
      <c r="B125" t="str">
        <f>TEXT($B$3,0) &amp;" ----- "&amp;'Data - DA'!B136</f>
        <v>Frame: 47 ----- Stem: 70x60  ----- Aluminium Aerobar + 20 + bridge + 5</v>
      </c>
      <c r="C125">
        <f t="shared" si="26"/>
        <v>415</v>
      </c>
      <c r="D125">
        <f t="shared" si="24"/>
        <v>385</v>
      </c>
      <c r="E125">
        <f t="shared" si="25"/>
        <v>465</v>
      </c>
      <c r="F125">
        <f>$G$4+'Data - DA'!D136</f>
        <v>602</v>
      </c>
      <c r="G125">
        <f t="shared" si="13"/>
        <v>600</v>
      </c>
      <c r="H125" t="str">
        <f>'Data - DA'!G136</f>
        <v xml:space="preserve">Aerobar Bolts: Top 25mm; Bottom 15mm </v>
      </c>
    </row>
    <row r="126" spans="2:8" x14ac:dyDescent="0.25">
      <c r="B126" t="str">
        <f>TEXT($B$3,0) &amp;" ----- "&amp;'Data - DA'!B137</f>
        <v>Frame: 47 ----- Stem: 70x60  ----- Aluminium Aerobar + 30 + bridge</v>
      </c>
      <c r="C126">
        <f t="shared" si="26"/>
        <v>415</v>
      </c>
      <c r="D126">
        <f t="shared" si="24"/>
        <v>385</v>
      </c>
      <c r="E126">
        <f t="shared" si="25"/>
        <v>465</v>
      </c>
      <c r="F126">
        <f>$G$4+'Data - DA'!D137</f>
        <v>607</v>
      </c>
      <c r="G126">
        <f t="shared" si="13"/>
        <v>605</v>
      </c>
      <c r="H126" t="str">
        <f>'Data - DA'!G137</f>
        <v xml:space="preserve">Aerobar Bolts: Top 30mm; Bottom 15mm </v>
      </c>
    </row>
    <row r="127" spans="2:8" x14ac:dyDescent="0.25">
      <c r="B127" t="str">
        <f>TEXT($B$3,0) &amp;" ----- "&amp;'Data - DA'!B138</f>
        <v>Frame: 47 ----- Stem: 70x60  ----- Aluminium Aerobar + 30 + bridge + 5</v>
      </c>
      <c r="C127">
        <f t="shared" si="26"/>
        <v>415</v>
      </c>
      <c r="D127">
        <f t="shared" si="24"/>
        <v>385</v>
      </c>
      <c r="E127">
        <f t="shared" si="25"/>
        <v>465</v>
      </c>
      <c r="F127">
        <f>$G$4+'Data - DA'!D138</f>
        <v>612</v>
      </c>
      <c r="G127">
        <f t="shared" si="13"/>
        <v>610</v>
      </c>
      <c r="H127" t="str">
        <f>'Data - DA'!G138</f>
        <v xml:space="preserve">Aerobar Bolts: Top 30mm; Bottom 15mm </v>
      </c>
    </row>
    <row r="128" spans="2:8" x14ac:dyDescent="0.25">
      <c r="B128" t="str">
        <f>TEXT($B$3,0) &amp;" ----- "&amp;'Data - DA'!B139</f>
        <v>Frame: 47 ----- Stem: 70x60  ----- Aluminium Aerobar + 40 + bridge</v>
      </c>
      <c r="C128">
        <f t="shared" si="26"/>
        <v>415</v>
      </c>
      <c r="D128">
        <f t="shared" si="24"/>
        <v>385</v>
      </c>
      <c r="E128">
        <f t="shared" si="25"/>
        <v>465</v>
      </c>
      <c r="F128">
        <f>$G$4+'Data - DA'!D139</f>
        <v>617</v>
      </c>
      <c r="G128">
        <f t="shared" si="13"/>
        <v>615</v>
      </c>
      <c r="H128" t="str">
        <f>'Data - DA'!G139</f>
        <v xml:space="preserve">Aerobar Bolts: Top 35mm; Bottom 15mm </v>
      </c>
    </row>
    <row r="129" spans="2:8" x14ac:dyDescent="0.25">
      <c r="B129" t="str">
        <f>TEXT($B$3,0) &amp;" ----- "&amp;'Data - DA'!B140</f>
        <v>Frame: 47 ----- Stem: 70x60  ----- Aluminium Aerobar + 40 + bridge + 5</v>
      </c>
      <c r="C129">
        <f t="shared" si="26"/>
        <v>415</v>
      </c>
      <c r="D129">
        <f t="shared" si="24"/>
        <v>385</v>
      </c>
      <c r="E129">
        <f t="shared" si="25"/>
        <v>465</v>
      </c>
      <c r="F129">
        <f>$G$4+'Data - DA'!D140</f>
        <v>622</v>
      </c>
      <c r="G129">
        <f t="shared" si="13"/>
        <v>620</v>
      </c>
      <c r="H129" t="str">
        <f>'Data - DA'!G140</f>
        <v xml:space="preserve">Aerobar Bolts: Top 35mm; Bottom 15mm </v>
      </c>
    </row>
    <row r="130" spans="2:8" x14ac:dyDescent="0.25">
      <c r="B130" t="str">
        <f>TEXT($B$3,0) &amp;" ----- "&amp;'Data - DA'!B141</f>
        <v>Frame: 47 ----- Stem: 70x60  ----- Aluminium Aerobar + 40 + bridge + 10</v>
      </c>
      <c r="C130">
        <f t="shared" si="26"/>
        <v>415</v>
      </c>
      <c r="D130">
        <f t="shared" si="24"/>
        <v>385</v>
      </c>
      <c r="E130">
        <f t="shared" si="25"/>
        <v>465</v>
      </c>
      <c r="F130">
        <f>$G$4+'Data - DA'!D141</f>
        <v>627</v>
      </c>
      <c r="G130">
        <f t="shared" si="13"/>
        <v>625</v>
      </c>
      <c r="H130" t="str">
        <f>'Data - DA'!G141</f>
        <v xml:space="preserve">Aerobar Bolts: Top 35mm; Bottom 15mm </v>
      </c>
    </row>
    <row r="131" spans="2:8" x14ac:dyDescent="0.25">
      <c r="B131" t="str">
        <f>TEXT($B$3,0) &amp;" ----- "&amp;'Data - DA'!B142</f>
        <v>Frame: 47 ----- Stem: 70x60  ----- Aluminium Aerobar + 40 + bridge + 10 + 5</v>
      </c>
      <c r="C131">
        <f t="shared" si="26"/>
        <v>415</v>
      </c>
      <c r="D131">
        <f t="shared" si="24"/>
        <v>385</v>
      </c>
      <c r="E131">
        <f t="shared" si="25"/>
        <v>465</v>
      </c>
      <c r="F131">
        <f>$G$4+'Data - DA'!D142</f>
        <v>632</v>
      </c>
      <c r="G131">
        <f t="shared" si="13"/>
        <v>630</v>
      </c>
      <c r="H131" t="str">
        <f>'Data - DA'!G142</f>
        <v xml:space="preserve">Aerobar Bolts: Top 35mm; Bottom 25mm </v>
      </c>
    </row>
    <row r="132" spans="2:8" x14ac:dyDescent="0.25">
      <c r="B132" t="str">
        <f>TEXT($B$3,0) &amp;" ----- "&amp;'Data - DA'!B143</f>
        <v>Frame: 47 ----- Stem: 100x30  ----- Aluminium Aerobar</v>
      </c>
      <c r="C132">
        <f>$M$8</f>
        <v>455</v>
      </c>
      <c r="D132">
        <f t="shared" ref="D132:D146" si="27">$M$9</f>
        <v>425</v>
      </c>
      <c r="E132">
        <f t="shared" ref="E132:E146" si="28">$M$10</f>
        <v>505</v>
      </c>
      <c r="F132">
        <f>$G$4+'Data - DA'!D143</f>
        <v>542</v>
      </c>
      <c r="G132">
        <f t="shared" si="13"/>
        <v>540</v>
      </c>
      <c r="H132" t="str">
        <f>'Data - DA'!G143</f>
        <v xml:space="preserve">Aerobar Bolts: Top 20mm; Bottom N/A </v>
      </c>
    </row>
    <row r="133" spans="2:8" x14ac:dyDescent="0.25">
      <c r="B133" t="str">
        <f>TEXT($B$3,0) &amp;" ----- "&amp;'Data - DA'!B144</f>
        <v>Frame: 47 ----- Stem: 100x30  ----- Aluminium Aerobar + 5</v>
      </c>
      <c r="C133">
        <f t="shared" ref="C133:C146" si="29">$M$8</f>
        <v>455</v>
      </c>
      <c r="D133">
        <f t="shared" si="27"/>
        <v>425</v>
      </c>
      <c r="E133">
        <f t="shared" si="28"/>
        <v>505</v>
      </c>
      <c r="F133">
        <f>$G$4+'Data - DA'!D144</f>
        <v>547</v>
      </c>
      <c r="G133">
        <f t="shared" si="13"/>
        <v>545</v>
      </c>
      <c r="H133" t="str">
        <f>'Data - DA'!G144</f>
        <v xml:space="preserve">Aerobar Bolts: Top 25mm; Bottom N/A </v>
      </c>
    </row>
    <row r="134" spans="2:8" x14ac:dyDescent="0.25">
      <c r="B134" t="str">
        <f>TEXT($B$3,0) &amp;" ----- "&amp;'Data - DA'!B145</f>
        <v>Frame: 47 ----- Stem: 100x30  ----- Aluminium Aerobar + 10</v>
      </c>
      <c r="C134">
        <f t="shared" si="29"/>
        <v>455</v>
      </c>
      <c r="D134">
        <f t="shared" si="27"/>
        <v>425</v>
      </c>
      <c r="E134">
        <f t="shared" si="28"/>
        <v>505</v>
      </c>
      <c r="F134">
        <f>$G$4+'Data - DA'!D145</f>
        <v>552</v>
      </c>
      <c r="G134">
        <f t="shared" si="13"/>
        <v>550</v>
      </c>
      <c r="H134" t="str">
        <f>'Data - DA'!G145</f>
        <v xml:space="preserve">Aerobar Bolts: Top 30mm; Bottom N/A </v>
      </c>
    </row>
    <row r="135" spans="2:8" x14ac:dyDescent="0.25">
      <c r="B135" t="str">
        <f>TEXT($B$3,0) &amp;" ----- "&amp;'Data - DA'!B146</f>
        <v>Frame: 47 ----- Stem: 100x30  ----- Aluminium Aerobar + 5 + 10</v>
      </c>
      <c r="C135">
        <f t="shared" si="29"/>
        <v>455</v>
      </c>
      <c r="D135">
        <f t="shared" si="27"/>
        <v>425</v>
      </c>
      <c r="E135">
        <f t="shared" si="28"/>
        <v>505</v>
      </c>
      <c r="F135">
        <f>$G$4+'Data - DA'!D146</f>
        <v>557</v>
      </c>
      <c r="G135">
        <f t="shared" si="13"/>
        <v>555</v>
      </c>
      <c r="H135" t="str">
        <f>'Data - DA'!G146</f>
        <v xml:space="preserve">Aerobar Bolts: Top 35mm; Bottom N/A </v>
      </c>
    </row>
    <row r="136" spans="2:8" x14ac:dyDescent="0.25">
      <c r="B136" t="str">
        <f>TEXT($B$3,0) &amp;" ----- "&amp;'Data - DA'!B147</f>
        <v>Frame: 47 ----- Stem: 100x30  ----- Aluminium Aerobar + 20</v>
      </c>
      <c r="C136">
        <f t="shared" si="29"/>
        <v>455</v>
      </c>
      <c r="D136">
        <f t="shared" si="27"/>
        <v>425</v>
      </c>
      <c r="E136">
        <f t="shared" si="28"/>
        <v>505</v>
      </c>
      <c r="F136">
        <f>$G$4+'Data - DA'!D147</f>
        <v>562</v>
      </c>
      <c r="G136">
        <f t="shared" si="13"/>
        <v>560</v>
      </c>
      <c r="H136" t="str">
        <f>'Data - DA'!G147</f>
        <v xml:space="preserve">Aerobar Bolts: Top 20mm; Bottom 15mm </v>
      </c>
    </row>
    <row r="137" spans="2:8" x14ac:dyDescent="0.25">
      <c r="B137" t="str">
        <f>TEXT($B$3,0) &amp;" ----- "&amp;'Data - DA'!B148</f>
        <v>Frame: 47 ----- Stem: 100x30  ----- Aluminium Aerobar + 20 + 5</v>
      </c>
      <c r="C137">
        <f t="shared" si="29"/>
        <v>455</v>
      </c>
      <c r="D137">
        <f t="shared" si="27"/>
        <v>425</v>
      </c>
      <c r="E137">
        <f t="shared" si="28"/>
        <v>505</v>
      </c>
      <c r="F137">
        <f>$G$4+'Data - DA'!D148</f>
        <v>567</v>
      </c>
      <c r="G137">
        <f t="shared" si="13"/>
        <v>565</v>
      </c>
      <c r="H137" t="str">
        <f>'Data - DA'!G148</f>
        <v xml:space="preserve">Aerobar Bolts: Top 25mm; Bottom 15mm </v>
      </c>
    </row>
    <row r="138" spans="2:8" x14ac:dyDescent="0.25">
      <c r="B138" t="str">
        <f>TEXT($B$3,0) &amp;" ----- "&amp;'Data - DA'!B149</f>
        <v>Frame: 47 ----- Stem: 100x30  ----- Aluminium Aerobar + 20 + bridge</v>
      </c>
      <c r="C138">
        <f t="shared" si="29"/>
        <v>455</v>
      </c>
      <c r="D138">
        <f t="shared" si="27"/>
        <v>425</v>
      </c>
      <c r="E138">
        <f t="shared" si="28"/>
        <v>505</v>
      </c>
      <c r="F138">
        <f>$G$4+'Data - DA'!D149</f>
        <v>567</v>
      </c>
      <c r="G138">
        <f t="shared" si="13"/>
        <v>565</v>
      </c>
      <c r="H138" t="str">
        <f>'Data - DA'!G149</f>
        <v xml:space="preserve">Aerobar Bolts: Top 25mm; Bottom 15mm </v>
      </c>
    </row>
    <row r="139" spans="2:8" x14ac:dyDescent="0.25">
      <c r="B139" t="str">
        <f>TEXT($B$3,0) &amp;" ----- "&amp;'Data - DA'!B150</f>
        <v>Frame: 47 ----- Stem: 100x30  ----- Aluminium Aerobar + 30</v>
      </c>
      <c r="C139">
        <f t="shared" si="29"/>
        <v>455</v>
      </c>
      <c r="D139">
        <f t="shared" si="27"/>
        <v>425</v>
      </c>
      <c r="E139">
        <f t="shared" si="28"/>
        <v>505</v>
      </c>
      <c r="F139">
        <f>$G$4+'Data - DA'!D150</f>
        <v>572</v>
      </c>
      <c r="G139">
        <f t="shared" si="13"/>
        <v>570</v>
      </c>
      <c r="H139" t="str">
        <f>'Data - DA'!G150</f>
        <v xml:space="preserve">Aerobar Bolts: Top 25mm; Bottom 15mm </v>
      </c>
    </row>
    <row r="140" spans="2:8" x14ac:dyDescent="0.25">
      <c r="B140" t="str">
        <f>TEXT($B$3,0) &amp;" ----- "&amp;'Data - DA'!B151</f>
        <v>Frame: 47 ----- Stem: 100x30  ----- Aluminium Aerobar + 20 + bridge + 5</v>
      </c>
      <c r="C140">
        <f t="shared" si="29"/>
        <v>455</v>
      </c>
      <c r="D140">
        <f t="shared" si="27"/>
        <v>425</v>
      </c>
      <c r="E140">
        <f t="shared" si="28"/>
        <v>505</v>
      </c>
      <c r="F140">
        <f>$G$4+'Data - DA'!D151</f>
        <v>572</v>
      </c>
      <c r="G140">
        <f t="shared" si="13"/>
        <v>570</v>
      </c>
      <c r="H140" t="str">
        <f>'Data - DA'!G151</f>
        <v xml:space="preserve">Aerobar Bolts: Top 25mm; Bottom 15mm </v>
      </c>
    </row>
    <row r="141" spans="2:8" x14ac:dyDescent="0.25">
      <c r="B141" t="str">
        <f>TEXT($B$3,0) &amp;" ----- "&amp;'Data - DA'!B152</f>
        <v>Frame: 47 ----- Stem: 100x30  ----- Aluminium Aerobar + 30 + bridge</v>
      </c>
      <c r="C141">
        <f t="shared" si="29"/>
        <v>455</v>
      </c>
      <c r="D141">
        <f t="shared" si="27"/>
        <v>425</v>
      </c>
      <c r="E141">
        <f t="shared" si="28"/>
        <v>505</v>
      </c>
      <c r="F141">
        <f>$G$4+'Data - DA'!D152</f>
        <v>577</v>
      </c>
      <c r="G141">
        <f t="shared" si="13"/>
        <v>575</v>
      </c>
      <c r="H141" t="str">
        <f>'Data - DA'!G152</f>
        <v xml:space="preserve">Aerobar Bolts: Top 30mm; Bottom 15mm </v>
      </c>
    </row>
    <row r="142" spans="2:8" x14ac:dyDescent="0.25">
      <c r="B142" t="str">
        <f>TEXT($B$3,0) &amp;" ----- "&amp;'Data - DA'!B153</f>
        <v>Frame: 47 ----- Stem: 100x30  ----- Aluminium Aerobar + 30 + bridge + 5</v>
      </c>
      <c r="C142">
        <f t="shared" si="29"/>
        <v>455</v>
      </c>
      <c r="D142">
        <f t="shared" si="27"/>
        <v>425</v>
      </c>
      <c r="E142">
        <f t="shared" si="28"/>
        <v>505</v>
      </c>
      <c r="F142">
        <f>$G$4+'Data - DA'!D153</f>
        <v>582</v>
      </c>
      <c r="G142">
        <f t="shared" si="13"/>
        <v>580</v>
      </c>
      <c r="H142" t="str">
        <f>'Data - DA'!G153</f>
        <v xml:space="preserve">Aerobar Bolts: Top 30mm; Bottom 15mm </v>
      </c>
    </row>
    <row r="143" spans="2:8" x14ac:dyDescent="0.25">
      <c r="B143" t="str">
        <f>TEXT($B$3,0) &amp;" ----- "&amp;'Data - DA'!B154</f>
        <v>Frame: 47 ----- Stem: 100x30  ----- Aluminium Aerobar + 40 + bridge</v>
      </c>
      <c r="C143">
        <f t="shared" si="29"/>
        <v>455</v>
      </c>
      <c r="D143">
        <f t="shared" si="27"/>
        <v>425</v>
      </c>
      <c r="E143">
        <f t="shared" si="28"/>
        <v>505</v>
      </c>
      <c r="F143">
        <f>$G$4+'Data - DA'!D154</f>
        <v>587</v>
      </c>
      <c r="G143">
        <f t="shared" si="13"/>
        <v>585</v>
      </c>
      <c r="H143" t="str">
        <f>'Data - DA'!G154</f>
        <v xml:space="preserve">Aerobar Bolts: Top 35mm; Bottom 15mm </v>
      </c>
    </row>
    <row r="144" spans="2:8" x14ac:dyDescent="0.25">
      <c r="B144" t="str">
        <f>TEXT($B$3,0) &amp;" ----- "&amp;'Data - DA'!B155</f>
        <v>Frame: 47 ----- Stem: 100x30  ----- Aluminium Aerobar + 40 + bridge + 5</v>
      </c>
      <c r="C144">
        <f t="shared" si="29"/>
        <v>455</v>
      </c>
      <c r="D144">
        <f t="shared" si="27"/>
        <v>425</v>
      </c>
      <c r="E144">
        <f t="shared" si="28"/>
        <v>505</v>
      </c>
      <c r="F144">
        <f>$G$4+'Data - DA'!D155</f>
        <v>592</v>
      </c>
      <c r="G144">
        <f t="shared" si="13"/>
        <v>590</v>
      </c>
      <c r="H144" t="str">
        <f>'Data - DA'!G155</f>
        <v xml:space="preserve">Aerobar Bolts: Top 35mm; Bottom 15mm </v>
      </c>
    </row>
    <row r="145" spans="2:8" x14ac:dyDescent="0.25">
      <c r="B145" t="str">
        <f>TEXT($B$3,0) &amp;" ----- "&amp;'Data - DA'!B156</f>
        <v>Frame: 47 ----- Stem: 100x30  ----- Aluminium Aerobar + 40 + bridge + 10</v>
      </c>
      <c r="C145">
        <f t="shared" si="29"/>
        <v>455</v>
      </c>
      <c r="D145">
        <f t="shared" si="27"/>
        <v>425</v>
      </c>
      <c r="E145">
        <f t="shared" si="28"/>
        <v>505</v>
      </c>
      <c r="F145">
        <f>$G$4+'Data - DA'!D156</f>
        <v>597</v>
      </c>
      <c r="G145">
        <f t="shared" si="13"/>
        <v>595</v>
      </c>
      <c r="H145" t="str">
        <f>'Data - DA'!G156</f>
        <v xml:space="preserve">Aerobar Bolts: Top 35mm; Bottom 15mm </v>
      </c>
    </row>
    <row r="146" spans="2:8" x14ac:dyDescent="0.25">
      <c r="B146" t="str">
        <f>TEXT($B$3,0) &amp;" ----- "&amp;'Data - DA'!B157</f>
        <v>Frame: 47 ----- Stem: 100x30  ----- Aluminium Aerobar + 40 + bridge + 10 + 5</v>
      </c>
      <c r="C146">
        <f t="shared" si="29"/>
        <v>455</v>
      </c>
      <c r="D146">
        <f t="shared" si="27"/>
        <v>425</v>
      </c>
      <c r="E146">
        <f t="shared" si="28"/>
        <v>505</v>
      </c>
      <c r="F146">
        <f>$G$4+'Data - DA'!D157</f>
        <v>602</v>
      </c>
      <c r="G146">
        <f t="shared" si="13"/>
        <v>600</v>
      </c>
      <c r="H146" t="str">
        <f>'Data - DA'!G157</f>
        <v xml:space="preserve">Aerobar Bolts: Top 35mm; Bottom 25mm </v>
      </c>
    </row>
    <row r="147" spans="2:8" x14ac:dyDescent="0.25">
      <c r="B147" t="str">
        <f>TEXT($B$3,0) &amp;" ----- "&amp;'Data - DA'!B158</f>
        <v>Frame: 47 ----- Stem: 100x60  ----- Aluminium Aerobar</v>
      </c>
      <c r="C147">
        <f>$N$8</f>
        <v>445</v>
      </c>
      <c r="D147">
        <f t="shared" ref="D147:D161" si="30">$N$9</f>
        <v>415</v>
      </c>
      <c r="E147">
        <f t="shared" ref="E147:E161" si="31">$N$10</f>
        <v>495</v>
      </c>
      <c r="F147">
        <f>$G$4+'Data - DA'!D158</f>
        <v>572</v>
      </c>
      <c r="G147">
        <f t="shared" si="13"/>
        <v>570</v>
      </c>
      <c r="H147" t="str">
        <f>'Data - DA'!G158</f>
        <v xml:space="preserve">Aerobar Bolts: Top 20mm; Bottom N/A </v>
      </c>
    </row>
    <row r="148" spans="2:8" x14ac:dyDescent="0.25">
      <c r="B148" t="str">
        <f>TEXT($B$3,0) &amp;" ----- "&amp;'Data - DA'!B159</f>
        <v>Frame: 47 ----- Stem: 100x60  ----- Aluminium Aerobar + 5</v>
      </c>
      <c r="C148">
        <f t="shared" ref="C148:C161" si="32">$N$8</f>
        <v>445</v>
      </c>
      <c r="D148">
        <f t="shared" si="30"/>
        <v>415</v>
      </c>
      <c r="E148">
        <f t="shared" si="31"/>
        <v>495</v>
      </c>
      <c r="F148">
        <f>$G$4+'Data - DA'!D159</f>
        <v>577</v>
      </c>
      <c r="G148">
        <f t="shared" si="13"/>
        <v>575</v>
      </c>
      <c r="H148" t="str">
        <f>'Data - DA'!G159</f>
        <v xml:space="preserve">Aerobar Bolts: Top 25mm; Bottom N/A </v>
      </c>
    </row>
    <row r="149" spans="2:8" x14ac:dyDescent="0.25">
      <c r="B149" t="str">
        <f>TEXT($B$3,0) &amp;" ----- "&amp;'Data - DA'!B160</f>
        <v>Frame: 47 ----- Stem: 100x60  ----- Aluminium Aerobar + 10</v>
      </c>
      <c r="C149">
        <f t="shared" si="32"/>
        <v>445</v>
      </c>
      <c r="D149">
        <f t="shared" si="30"/>
        <v>415</v>
      </c>
      <c r="E149">
        <f t="shared" si="31"/>
        <v>495</v>
      </c>
      <c r="F149">
        <f>$G$4+'Data - DA'!D160</f>
        <v>582</v>
      </c>
      <c r="G149">
        <f t="shared" si="13"/>
        <v>580</v>
      </c>
      <c r="H149" t="str">
        <f>'Data - DA'!G160</f>
        <v xml:space="preserve">Aerobar Bolts: Top 30mm; Bottom N/A </v>
      </c>
    </row>
    <row r="150" spans="2:8" x14ac:dyDescent="0.25">
      <c r="B150" t="str">
        <f>TEXT($B$3,0) &amp;" ----- "&amp;'Data - DA'!B161</f>
        <v>Frame: 47 ----- Stem: 100x60  ----- Aluminium Aerobar + 5 + 10</v>
      </c>
      <c r="C150">
        <f t="shared" si="32"/>
        <v>445</v>
      </c>
      <c r="D150">
        <f t="shared" si="30"/>
        <v>415</v>
      </c>
      <c r="E150">
        <f t="shared" si="31"/>
        <v>495</v>
      </c>
      <c r="F150">
        <f>$G$4+'Data - DA'!D161</f>
        <v>587</v>
      </c>
      <c r="G150">
        <f t="shared" si="13"/>
        <v>585</v>
      </c>
      <c r="H150" t="str">
        <f>'Data - DA'!G161</f>
        <v xml:space="preserve">Aerobar Bolts: Top 35mm; Bottom N/A </v>
      </c>
    </row>
    <row r="151" spans="2:8" x14ac:dyDescent="0.25">
      <c r="B151" t="str">
        <f>TEXT($B$3,0) &amp;" ----- "&amp;'Data - DA'!B162</f>
        <v>Frame: 47 ----- Stem: 100x60  ----- Aluminium Aerobar + 20</v>
      </c>
      <c r="C151">
        <f t="shared" si="32"/>
        <v>445</v>
      </c>
      <c r="D151">
        <f t="shared" si="30"/>
        <v>415</v>
      </c>
      <c r="E151">
        <f t="shared" si="31"/>
        <v>495</v>
      </c>
      <c r="F151">
        <f>$G$4+'Data - DA'!D162</f>
        <v>592</v>
      </c>
      <c r="G151">
        <f t="shared" si="13"/>
        <v>590</v>
      </c>
      <c r="H151" t="str">
        <f>'Data - DA'!G162</f>
        <v xml:space="preserve">Aerobar Bolts: Top 20mm; Bottom 15mm </v>
      </c>
    </row>
    <row r="152" spans="2:8" x14ac:dyDescent="0.25">
      <c r="B152" t="str">
        <f>TEXT($B$3,0) &amp;" ----- "&amp;'Data - DA'!B163</f>
        <v>Frame: 47 ----- Stem: 100x60  ----- Aluminium Aerobar + 20 + 5</v>
      </c>
      <c r="C152">
        <f t="shared" si="32"/>
        <v>445</v>
      </c>
      <c r="D152">
        <f t="shared" si="30"/>
        <v>415</v>
      </c>
      <c r="E152">
        <f t="shared" si="31"/>
        <v>495</v>
      </c>
      <c r="F152">
        <f>$G$4+'Data - DA'!D163</f>
        <v>597</v>
      </c>
      <c r="G152">
        <f t="shared" ref="G152:G161" si="33">ROUND(F152/5,0)*5</f>
        <v>595</v>
      </c>
      <c r="H152" t="str">
        <f>'Data - DA'!G163</f>
        <v xml:space="preserve">Aerobar Bolts: Top 25mm; Bottom 15mm </v>
      </c>
    </row>
    <row r="153" spans="2:8" x14ac:dyDescent="0.25">
      <c r="B153" t="str">
        <f>TEXT($B$3,0) &amp;" ----- "&amp;'Data - DA'!B164</f>
        <v>Frame: 47 ----- Stem: 100x60  ----- Aluminium Aerobar + 20 + bridge</v>
      </c>
      <c r="C153">
        <f t="shared" si="32"/>
        <v>445</v>
      </c>
      <c r="D153">
        <f t="shared" si="30"/>
        <v>415</v>
      </c>
      <c r="E153">
        <f t="shared" si="31"/>
        <v>495</v>
      </c>
      <c r="F153">
        <f>$G$4+'Data - DA'!D164</f>
        <v>597</v>
      </c>
      <c r="G153">
        <f t="shared" si="33"/>
        <v>595</v>
      </c>
      <c r="H153" t="str">
        <f>'Data - DA'!G164</f>
        <v xml:space="preserve">Aerobar Bolts: Top 25mm; Bottom 15mm </v>
      </c>
    </row>
    <row r="154" spans="2:8" x14ac:dyDescent="0.25">
      <c r="B154" t="str">
        <f>TEXT($B$3,0) &amp;" ----- "&amp;'Data - DA'!B165</f>
        <v>Frame: 47 ----- Stem: 100x60  ----- Aluminium Aerobar + 30</v>
      </c>
      <c r="C154">
        <f t="shared" si="32"/>
        <v>445</v>
      </c>
      <c r="D154">
        <f t="shared" si="30"/>
        <v>415</v>
      </c>
      <c r="E154">
        <f t="shared" si="31"/>
        <v>495</v>
      </c>
      <c r="F154">
        <f>$G$4+'Data - DA'!D165</f>
        <v>602</v>
      </c>
      <c r="G154">
        <f t="shared" si="33"/>
        <v>600</v>
      </c>
      <c r="H154" t="str">
        <f>'Data - DA'!G165</f>
        <v xml:space="preserve">Aerobar Bolts: Top 25mm; Bottom 15mm </v>
      </c>
    </row>
    <row r="155" spans="2:8" x14ac:dyDescent="0.25">
      <c r="B155" t="str">
        <f>TEXT($B$3,0) &amp;" ----- "&amp;'Data - DA'!B166</f>
        <v>Frame: 47 ----- Stem: 100x60  ----- Aluminium Aerobar + 20 + bridge + 5</v>
      </c>
      <c r="C155">
        <f t="shared" si="32"/>
        <v>445</v>
      </c>
      <c r="D155">
        <f t="shared" si="30"/>
        <v>415</v>
      </c>
      <c r="E155">
        <f t="shared" si="31"/>
        <v>495</v>
      </c>
      <c r="F155">
        <f>$G$4+'Data - DA'!D166</f>
        <v>602</v>
      </c>
      <c r="G155">
        <f t="shared" si="33"/>
        <v>600</v>
      </c>
      <c r="H155" t="str">
        <f>'Data - DA'!G166</f>
        <v xml:space="preserve">Aerobar Bolts: Top 25mm; Bottom 15mm </v>
      </c>
    </row>
    <row r="156" spans="2:8" x14ac:dyDescent="0.25">
      <c r="B156" t="str">
        <f>TEXT($B$3,0) &amp;" ----- "&amp;'Data - DA'!B167</f>
        <v>Frame: 47 ----- Stem: 100x60  ----- Aluminium Aerobar + 30 + bridge</v>
      </c>
      <c r="C156">
        <f t="shared" si="32"/>
        <v>445</v>
      </c>
      <c r="D156">
        <f t="shared" si="30"/>
        <v>415</v>
      </c>
      <c r="E156">
        <f t="shared" si="31"/>
        <v>495</v>
      </c>
      <c r="F156">
        <f>$G$4+'Data - DA'!D167</f>
        <v>607</v>
      </c>
      <c r="G156">
        <f t="shared" si="33"/>
        <v>605</v>
      </c>
      <c r="H156" t="str">
        <f>'Data - DA'!G167</f>
        <v xml:space="preserve">Aerobar Bolts: Top 30mm; Bottom 15mm </v>
      </c>
    </row>
    <row r="157" spans="2:8" x14ac:dyDescent="0.25">
      <c r="B157" t="str">
        <f>TEXT($B$3,0) &amp;" ----- "&amp;'Data - DA'!B168</f>
        <v>Frame: 47 ----- Stem: 100x60  ----- Aluminium Aerobar + 30 + bridge + 5</v>
      </c>
      <c r="C157">
        <f t="shared" si="32"/>
        <v>445</v>
      </c>
      <c r="D157">
        <f t="shared" si="30"/>
        <v>415</v>
      </c>
      <c r="E157">
        <f t="shared" si="31"/>
        <v>495</v>
      </c>
      <c r="F157">
        <f>$G$4+'Data - DA'!D168</f>
        <v>612</v>
      </c>
      <c r="G157">
        <f t="shared" si="33"/>
        <v>610</v>
      </c>
      <c r="H157" t="str">
        <f>'Data - DA'!G168</f>
        <v xml:space="preserve">Aerobar Bolts: Top 30mm; Bottom 15mm </v>
      </c>
    </row>
    <row r="158" spans="2:8" x14ac:dyDescent="0.25">
      <c r="B158" t="str">
        <f>TEXT($B$3,0) &amp;" ----- "&amp;'Data - DA'!B169</f>
        <v>Frame: 47 ----- Stem: 100x60  ----- Aluminium Aerobar + 40 + bridge</v>
      </c>
      <c r="C158">
        <f t="shared" si="32"/>
        <v>445</v>
      </c>
      <c r="D158">
        <f t="shared" si="30"/>
        <v>415</v>
      </c>
      <c r="E158">
        <f t="shared" si="31"/>
        <v>495</v>
      </c>
      <c r="F158">
        <f>$G$4+'Data - DA'!D169</f>
        <v>617</v>
      </c>
      <c r="G158">
        <f t="shared" si="33"/>
        <v>615</v>
      </c>
      <c r="H158" t="str">
        <f>'Data - DA'!G169</f>
        <v xml:space="preserve">Aerobar Bolts: Top 35mm; Bottom 15mm </v>
      </c>
    </row>
    <row r="159" spans="2:8" x14ac:dyDescent="0.25">
      <c r="B159" t="str">
        <f>TEXT($B$3,0) &amp;" ----- "&amp;'Data - DA'!B170</f>
        <v>Frame: 47 ----- Stem: 100x60  ----- Aluminium Aerobar + 40 + bridge + 5</v>
      </c>
      <c r="C159">
        <f t="shared" si="32"/>
        <v>445</v>
      </c>
      <c r="D159">
        <f t="shared" si="30"/>
        <v>415</v>
      </c>
      <c r="E159">
        <f t="shared" si="31"/>
        <v>495</v>
      </c>
      <c r="F159">
        <f>$G$4+'Data - DA'!D170</f>
        <v>622</v>
      </c>
      <c r="G159">
        <f t="shared" si="33"/>
        <v>620</v>
      </c>
      <c r="H159" t="str">
        <f>'Data - DA'!G170</f>
        <v xml:space="preserve">Aerobar Bolts: Top 35mm; Bottom 15mm </v>
      </c>
    </row>
    <row r="160" spans="2:8" x14ac:dyDescent="0.25">
      <c r="B160" t="str">
        <f>TEXT($B$3,0) &amp;" ----- "&amp;'Data - DA'!B171</f>
        <v>Frame: 47 ----- Stem: 100x60  ----- Aluminium Aerobar + 40 + bridge + 10</v>
      </c>
      <c r="C160">
        <f t="shared" si="32"/>
        <v>445</v>
      </c>
      <c r="D160">
        <f t="shared" si="30"/>
        <v>415</v>
      </c>
      <c r="E160">
        <f t="shared" si="31"/>
        <v>495</v>
      </c>
      <c r="F160">
        <f>$G$4+'Data - DA'!D171</f>
        <v>627</v>
      </c>
      <c r="G160">
        <f t="shared" si="33"/>
        <v>625</v>
      </c>
      <c r="H160" t="str">
        <f>'Data - DA'!G171</f>
        <v xml:space="preserve">Aerobar Bolts: Top 35mm; Bottom 15mm </v>
      </c>
    </row>
    <row r="161" spans="2:8" x14ac:dyDescent="0.25">
      <c r="B161" t="str">
        <f>TEXT($B$3,0) &amp;" ----- "&amp;'Data - DA'!B172</f>
        <v>Frame: 47 ----- Stem: 100x60  ----- Aluminium Aerobar + 40 + bridge + 10 + 5</v>
      </c>
      <c r="C161">
        <f t="shared" si="32"/>
        <v>445</v>
      </c>
      <c r="D161">
        <f t="shared" si="30"/>
        <v>415</v>
      </c>
      <c r="E161">
        <f t="shared" si="31"/>
        <v>495</v>
      </c>
      <c r="F161">
        <f>$G$4+'Data - DA'!D172</f>
        <v>632</v>
      </c>
      <c r="G161">
        <f t="shared" si="33"/>
        <v>630</v>
      </c>
      <c r="H161" t="str">
        <f>'Data - DA'!G172</f>
        <v xml:space="preserve">Aerobar Bolts: Top 35mm; Bottom 25mm </v>
      </c>
    </row>
    <row r="162" spans="2:8" x14ac:dyDescent="0.25">
      <c r="B162" t="str">
        <f>TEXT($B$3,0) &amp;" ----- "&amp;'Data - DA'!B173</f>
        <v>Frame: 47 ----- Stem: 90x0  ----- Aluminium Aerobar</v>
      </c>
      <c r="C162">
        <f>$O$8</f>
        <v>450</v>
      </c>
      <c r="D162">
        <f t="shared" ref="D162:D176" si="34">$O$9</f>
        <v>420</v>
      </c>
      <c r="E162">
        <f t="shared" ref="E162:E176" si="35">$O$10</f>
        <v>500</v>
      </c>
      <c r="F162">
        <f>$G$4+'Data - DA'!D173</f>
        <v>510</v>
      </c>
      <c r="G162">
        <f t="shared" ref="G162:G191" si="36">ROUND(F162/5,0)*5</f>
        <v>510</v>
      </c>
      <c r="H162" t="str">
        <f>'Data - DA'!G173</f>
        <v xml:space="preserve">Aerobar Bolts: Top 20mm; Bottom N/A </v>
      </c>
    </row>
    <row r="163" spans="2:8" x14ac:dyDescent="0.25">
      <c r="B163" t="str">
        <f>TEXT($B$3,0) &amp;" ----- "&amp;'Data - DA'!B174</f>
        <v>Frame: 47 ----- Stem: 90x0  ----- Aluminium Aerobar + 5</v>
      </c>
      <c r="C163">
        <f t="shared" ref="C163:C176" si="37">$O$8</f>
        <v>450</v>
      </c>
      <c r="D163">
        <f t="shared" si="34"/>
        <v>420</v>
      </c>
      <c r="E163">
        <f t="shared" si="35"/>
        <v>500</v>
      </c>
      <c r="F163">
        <f>$G$4+'Data - DA'!D174</f>
        <v>515</v>
      </c>
      <c r="G163">
        <f t="shared" si="36"/>
        <v>515</v>
      </c>
      <c r="H163" t="str">
        <f>'Data - DA'!G174</f>
        <v xml:space="preserve">Aerobar Bolts: Top 25mm; Bottom N/A </v>
      </c>
    </row>
    <row r="164" spans="2:8" x14ac:dyDescent="0.25">
      <c r="B164" t="str">
        <f>TEXT($B$3,0) &amp;" ----- "&amp;'Data - DA'!B175</f>
        <v>Frame: 47 ----- Stem: 90x0  ----- Aluminium Aerobar + 10</v>
      </c>
      <c r="C164">
        <f t="shared" si="37"/>
        <v>450</v>
      </c>
      <c r="D164">
        <f t="shared" si="34"/>
        <v>420</v>
      </c>
      <c r="E164">
        <f t="shared" si="35"/>
        <v>500</v>
      </c>
      <c r="F164">
        <f>$G$4+'Data - DA'!D175</f>
        <v>520</v>
      </c>
      <c r="G164">
        <f t="shared" si="36"/>
        <v>520</v>
      </c>
      <c r="H164" t="str">
        <f>'Data - DA'!G175</f>
        <v xml:space="preserve">Aerobar Bolts: Top 30mm; Bottom N/A </v>
      </c>
    </row>
    <row r="165" spans="2:8" x14ac:dyDescent="0.25">
      <c r="B165" t="str">
        <f>TEXT($B$3,0) &amp;" ----- "&amp;'Data - DA'!B176</f>
        <v>Frame: 47 ----- Stem: 90x0  ----- Aluminium Aerobar + 5 + 10</v>
      </c>
      <c r="C165">
        <f t="shared" si="37"/>
        <v>450</v>
      </c>
      <c r="D165">
        <f t="shared" si="34"/>
        <v>420</v>
      </c>
      <c r="E165">
        <f t="shared" si="35"/>
        <v>500</v>
      </c>
      <c r="F165">
        <f>$G$4+'Data - DA'!D176</f>
        <v>525</v>
      </c>
      <c r="G165">
        <f t="shared" si="36"/>
        <v>525</v>
      </c>
      <c r="H165" t="str">
        <f>'Data - DA'!G176</f>
        <v xml:space="preserve">Aerobar Bolts: Top 35mm; Bottom N/A </v>
      </c>
    </row>
    <row r="166" spans="2:8" x14ac:dyDescent="0.25">
      <c r="B166" t="str">
        <f>TEXT($B$3,0) &amp;" ----- "&amp;'Data - DA'!B177</f>
        <v>Frame: 47 ----- Stem: 90x0  ----- Aluminium Aerobar + 20</v>
      </c>
      <c r="C166">
        <f t="shared" si="37"/>
        <v>450</v>
      </c>
      <c r="D166">
        <f t="shared" si="34"/>
        <v>420</v>
      </c>
      <c r="E166">
        <f t="shared" si="35"/>
        <v>500</v>
      </c>
      <c r="F166">
        <f>$G$4+'Data - DA'!D177</f>
        <v>530</v>
      </c>
      <c r="G166">
        <f t="shared" si="36"/>
        <v>530</v>
      </c>
      <c r="H166" t="str">
        <f>'Data - DA'!G177</f>
        <v xml:space="preserve">Aerobar Bolts: Top 20mm; Bottom 15mm </v>
      </c>
    </row>
    <row r="167" spans="2:8" x14ac:dyDescent="0.25">
      <c r="B167" t="str">
        <f>TEXT($B$3,0) &amp;" ----- "&amp;'Data - DA'!B178</f>
        <v>Frame: 47 ----- Stem: 90x0  ----- Aluminium Aerobar + 20 + 5</v>
      </c>
      <c r="C167">
        <f t="shared" si="37"/>
        <v>450</v>
      </c>
      <c r="D167">
        <f t="shared" si="34"/>
        <v>420</v>
      </c>
      <c r="E167">
        <f t="shared" si="35"/>
        <v>500</v>
      </c>
      <c r="F167">
        <f>$G$4+'Data - DA'!D178</f>
        <v>535</v>
      </c>
      <c r="G167">
        <f t="shared" si="36"/>
        <v>535</v>
      </c>
      <c r="H167" t="str">
        <f>'Data - DA'!G178</f>
        <v xml:space="preserve">Aerobar Bolts: Top 25mm; Bottom 15mm </v>
      </c>
    </row>
    <row r="168" spans="2:8" x14ac:dyDescent="0.25">
      <c r="B168" t="str">
        <f>TEXT($B$3,0) &amp;" ----- "&amp;'Data - DA'!B179</f>
        <v>Frame: 47 ----- Stem: 90x0  ----- Aluminium Aerobar + 20 + bridge</v>
      </c>
      <c r="C168">
        <f t="shared" si="37"/>
        <v>450</v>
      </c>
      <c r="D168">
        <f t="shared" si="34"/>
        <v>420</v>
      </c>
      <c r="E168">
        <f t="shared" si="35"/>
        <v>500</v>
      </c>
      <c r="F168">
        <f>$G$4+'Data - DA'!D179</f>
        <v>535</v>
      </c>
      <c r="G168">
        <f t="shared" si="36"/>
        <v>535</v>
      </c>
      <c r="H168" t="str">
        <f>'Data - DA'!G179</f>
        <v xml:space="preserve">Aerobar Bolts: Top 25mm; Bottom 15mm </v>
      </c>
    </row>
    <row r="169" spans="2:8" x14ac:dyDescent="0.25">
      <c r="B169" t="str">
        <f>TEXT($B$3,0) &amp;" ----- "&amp;'Data - DA'!B180</f>
        <v>Frame: 47 ----- Stem: 90x0  ----- Aluminium Aerobar + 30</v>
      </c>
      <c r="C169">
        <f t="shared" si="37"/>
        <v>450</v>
      </c>
      <c r="D169">
        <f t="shared" si="34"/>
        <v>420</v>
      </c>
      <c r="E169">
        <f t="shared" si="35"/>
        <v>500</v>
      </c>
      <c r="F169">
        <f>$G$4+'Data - DA'!D180</f>
        <v>540</v>
      </c>
      <c r="G169">
        <f t="shared" si="36"/>
        <v>540</v>
      </c>
      <c r="H169" t="str">
        <f>'Data - DA'!G180</f>
        <v xml:space="preserve">Aerobar Bolts: Top 25mm; Bottom 15mm </v>
      </c>
    </row>
    <row r="170" spans="2:8" x14ac:dyDescent="0.25">
      <c r="B170" t="str">
        <f>TEXT($B$3,0) &amp;" ----- "&amp;'Data - DA'!B181</f>
        <v>Frame: 47 ----- Stem: 90x0  ----- Aluminium Aerobar + 20 + bridge + 5</v>
      </c>
      <c r="C170">
        <f t="shared" si="37"/>
        <v>450</v>
      </c>
      <c r="D170">
        <f t="shared" si="34"/>
        <v>420</v>
      </c>
      <c r="E170">
        <f t="shared" si="35"/>
        <v>500</v>
      </c>
      <c r="F170">
        <f>$G$4+'Data - DA'!D181</f>
        <v>540</v>
      </c>
      <c r="G170">
        <f t="shared" si="36"/>
        <v>540</v>
      </c>
      <c r="H170" t="str">
        <f>'Data - DA'!G181</f>
        <v xml:space="preserve">Aerobar Bolts: Top 25mm; Bottom 15mm </v>
      </c>
    </row>
    <row r="171" spans="2:8" x14ac:dyDescent="0.25">
      <c r="B171" t="str">
        <f>TEXT($B$3,0) &amp;" ----- "&amp;'Data - DA'!B182</f>
        <v>Frame: 47 ----- Stem: 90x0  ----- Aluminium Aerobar + 30 + bridge</v>
      </c>
      <c r="C171">
        <f t="shared" si="37"/>
        <v>450</v>
      </c>
      <c r="D171">
        <f t="shared" si="34"/>
        <v>420</v>
      </c>
      <c r="E171">
        <f t="shared" si="35"/>
        <v>500</v>
      </c>
      <c r="F171">
        <f>$G$4+'Data - DA'!D182</f>
        <v>545</v>
      </c>
      <c r="G171">
        <f t="shared" si="36"/>
        <v>545</v>
      </c>
      <c r="H171" t="str">
        <f>'Data - DA'!G182</f>
        <v xml:space="preserve">Aerobar Bolts: Top 30mm; Bottom 15mm </v>
      </c>
    </row>
    <row r="172" spans="2:8" x14ac:dyDescent="0.25">
      <c r="B172" t="str">
        <f>TEXT($B$3,0) &amp;" ----- "&amp;'Data - DA'!B183</f>
        <v>Frame: 47 ----- Stem: 90x0  ----- Aluminium Aerobar + 30 + bridge + 5</v>
      </c>
      <c r="C172">
        <f t="shared" si="37"/>
        <v>450</v>
      </c>
      <c r="D172">
        <f t="shared" si="34"/>
        <v>420</v>
      </c>
      <c r="E172">
        <f t="shared" si="35"/>
        <v>500</v>
      </c>
      <c r="F172">
        <f>$G$4+'Data - DA'!D183</f>
        <v>550</v>
      </c>
      <c r="G172">
        <f t="shared" si="36"/>
        <v>550</v>
      </c>
      <c r="H172" t="str">
        <f>'Data - DA'!G183</f>
        <v xml:space="preserve">Aerobar Bolts: Top 30mm; Bottom 15mm </v>
      </c>
    </row>
    <row r="173" spans="2:8" x14ac:dyDescent="0.25">
      <c r="B173" t="str">
        <f>TEXT($B$3,0) &amp;" ----- "&amp;'Data - DA'!B184</f>
        <v>Frame: 47 ----- Stem: 90x0  ----- Aluminium Aerobar + 40 + bridge</v>
      </c>
      <c r="C173">
        <f t="shared" si="37"/>
        <v>450</v>
      </c>
      <c r="D173">
        <f t="shared" si="34"/>
        <v>420</v>
      </c>
      <c r="E173">
        <f t="shared" si="35"/>
        <v>500</v>
      </c>
      <c r="F173">
        <f>$G$4+'Data - DA'!D184</f>
        <v>555</v>
      </c>
      <c r="G173">
        <f t="shared" si="36"/>
        <v>555</v>
      </c>
      <c r="H173" t="str">
        <f>'Data - DA'!G184</f>
        <v xml:space="preserve">Aerobar Bolts: Top 35mm; Bottom 15mm </v>
      </c>
    </row>
    <row r="174" spans="2:8" x14ac:dyDescent="0.25">
      <c r="B174" t="str">
        <f>TEXT($B$3,0) &amp;" ----- "&amp;'Data - DA'!B185</f>
        <v>Frame: 47 ----- Stem: 90x0  ----- Aluminium Aerobar + 40 + bridge + 5</v>
      </c>
      <c r="C174">
        <f t="shared" si="37"/>
        <v>450</v>
      </c>
      <c r="D174">
        <f t="shared" si="34"/>
        <v>420</v>
      </c>
      <c r="E174">
        <f t="shared" si="35"/>
        <v>500</v>
      </c>
      <c r="F174">
        <f>$G$4+'Data - DA'!D185</f>
        <v>560</v>
      </c>
      <c r="G174">
        <f t="shared" si="36"/>
        <v>560</v>
      </c>
      <c r="H174" t="str">
        <f>'Data - DA'!G185</f>
        <v xml:space="preserve">Aerobar Bolts: Top 35mm; Bottom 15mm </v>
      </c>
    </row>
    <row r="175" spans="2:8" x14ac:dyDescent="0.25">
      <c r="B175" t="str">
        <f>TEXT($B$3,0) &amp;" ----- "&amp;'Data - DA'!B186</f>
        <v>Frame: 47 ----- Stem: 90x0  ----- Aluminium Aerobar + 40 + bridge + 10</v>
      </c>
      <c r="C175">
        <f t="shared" si="37"/>
        <v>450</v>
      </c>
      <c r="D175">
        <f t="shared" si="34"/>
        <v>420</v>
      </c>
      <c r="E175">
        <f t="shared" si="35"/>
        <v>500</v>
      </c>
      <c r="F175">
        <f>$G$4+'Data - DA'!D186</f>
        <v>565</v>
      </c>
      <c r="G175">
        <f t="shared" si="36"/>
        <v>565</v>
      </c>
      <c r="H175" t="str">
        <f>'Data - DA'!G186</f>
        <v xml:space="preserve">Aerobar Bolts: Top 35mm; Bottom 15mm </v>
      </c>
    </row>
    <row r="176" spans="2:8" x14ac:dyDescent="0.25">
      <c r="B176" t="str">
        <f>TEXT($B$3,0) &amp;" ----- "&amp;'Data - DA'!B187</f>
        <v>Frame: 47 ----- Stem: 90x0  ----- Aluminium Aerobar + 40 + bridge + 10 + 5</v>
      </c>
      <c r="C176">
        <f t="shared" si="37"/>
        <v>450</v>
      </c>
      <c r="D176">
        <f t="shared" si="34"/>
        <v>420</v>
      </c>
      <c r="E176">
        <f t="shared" si="35"/>
        <v>500</v>
      </c>
      <c r="F176">
        <f>$G$4+'Data - DA'!D187</f>
        <v>570</v>
      </c>
      <c r="G176">
        <f t="shared" si="36"/>
        <v>570</v>
      </c>
      <c r="H176" t="str">
        <f>'Data - DA'!G187</f>
        <v xml:space="preserve">Aerobar Bolts: Top 35mm; Bottom 25mm </v>
      </c>
    </row>
    <row r="177" spans="2:8" x14ac:dyDescent="0.25">
      <c r="B177" t="str">
        <f>TEXT($B$3,0) &amp;" ----- "&amp;'Data - DA'!B188</f>
        <v>Frame: 47 ----- Stem: 110x0  ----- Aluminium Aerobar</v>
      </c>
      <c r="C177">
        <f>$P$8</f>
        <v>470</v>
      </c>
      <c r="D177">
        <f t="shared" ref="D177:D191" si="38">$P$9</f>
        <v>440</v>
      </c>
      <c r="E177">
        <f t="shared" ref="E177:E191" si="39">$P$10</f>
        <v>520</v>
      </c>
      <c r="F177">
        <f>$G$4+'Data - DA'!D188</f>
        <v>510</v>
      </c>
      <c r="G177">
        <f t="shared" si="36"/>
        <v>510</v>
      </c>
      <c r="H177" t="str">
        <f>'Data - DA'!G188</f>
        <v xml:space="preserve">Aerobar Bolts: Top 20mm; Bottom N/A </v>
      </c>
    </row>
    <row r="178" spans="2:8" x14ac:dyDescent="0.25">
      <c r="B178" t="str">
        <f>TEXT($B$3,0) &amp;" ----- "&amp;'Data - DA'!B189</f>
        <v>Frame: 47 ----- Stem: 110x0  ----- Aluminium Aerobar + 5</v>
      </c>
      <c r="C178">
        <f t="shared" ref="C178:C191" si="40">$P$8</f>
        <v>470</v>
      </c>
      <c r="D178">
        <f t="shared" si="38"/>
        <v>440</v>
      </c>
      <c r="E178">
        <f t="shared" si="39"/>
        <v>520</v>
      </c>
      <c r="F178">
        <f>$G$4+'Data - DA'!D189</f>
        <v>515</v>
      </c>
      <c r="G178">
        <f t="shared" si="36"/>
        <v>515</v>
      </c>
      <c r="H178" t="str">
        <f>'Data - DA'!G189</f>
        <v xml:space="preserve">Aerobar Bolts: Top 25mm; Bottom N/A </v>
      </c>
    </row>
    <row r="179" spans="2:8" x14ac:dyDescent="0.25">
      <c r="B179" t="str">
        <f>TEXT($B$3,0) &amp;" ----- "&amp;'Data - DA'!B190</f>
        <v>Frame: 47 ----- Stem: 110x0  ----- Aluminium Aerobar + 10</v>
      </c>
      <c r="C179">
        <f t="shared" si="40"/>
        <v>470</v>
      </c>
      <c r="D179">
        <f t="shared" si="38"/>
        <v>440</v>
      </c>
      <c r="E179">
        <f t="shared" si="39"/>
        <v>520</v>
      </c>
      <c r="F179">
        <f>$G$4+'Data - DA'!D190</f>
        <v>520</v>
      </c>
      <c r="G179">
        <f t="shared" si="36"/>
        <v>520</v>
      </c>
      <c r="H179" t="str">
        <f>'Data - DA'!G190</f>
        <v xml:space="preserve">Aerobar Bolts: Top 30mm; Bottom N/A </v>
      </c>
    </row>
    <row r="180" spans="2:8" x14ac:dyDescent="0.25">
      <c r="B180" t="str">
        <f>TEXT($B$3,0) &amp;" ----- "&amp;'Data - DA'!B191</f>
        <v>Frame: 47 ----- Stem: 110x0  ----- Aluminium Aerobar + 5 + 10</v>
      </c>
      <c r="C180">
        <f t="shared" si="40"/>
        <v>470</v>
      </c>
      <c r="D180">
        <f t="shared" si="38"/>
        <v>440</v>
      </c>
      <c r="E180">
        <f t="shared" si="39"/>
        <v>520</v>
      </c>
      <c r="F180">
        <f>$G$4+'Data - DA'!D191</f>
        <v>526</v>
      </c>
      <c r="G180">
        <f t="shared" si="36"/>
        <v>525</v>
      </c>
      <c r="H180" t="str">
        <f>'Data - DA'!G191</f>
        <v xml:space="preserve">Aerobar Bolts: Top 35mm; Bottom N/A </v>
      </c>
    </row>
    <row r="181" spans="2:8" x14ac:dyDescent="0.25">
      <c r="B181" t="str">
        <f>TEXT($B$3,0) &amp;" ----- "&amp;'Data - DA'!B192</f>
        <v>Frame: 47 ----- Stem: 110x0  ----- Aluminium Aerobar + 20</v>
      </c>
      <c r="C181">
        <f t="shared" si="40"/>
        <v>470</v>
      </c>
      <c r="D181">
        <f t="shared" si="38"/>
        <v>440</v>
      </c>
      <c r="E181">
        <f t="shared" si="39"/>
        <v>520</v>
      </c>
      <c r="F181">
        <f>$G$4+'Data - DA'!D192</f>
        <v>530</v>
      </c>
      <c r="G181">
        <f t="shared" si="36"/>
        <v>530</v>
      </c>
      <c r="H181" t="str">
        <f>'Data - DA'!G192</f>
        <v xml:space="preserve">Aerobar Bolts: Top 20mm; Bottom 15mm </v>
      </c>
    </row>
    <row r="182" spans="2:8" x14ac:dyDescent="0.25">
      <c r="B182" t="str">
        <f>TEXT($B$3,0) &amp;" ----- "&amp;'Data - DA'!B193</f>
        <v>Frame: 47 ----- Stem: 110x0  ----- Aluminium Aerobar + 20 + 5</v>
      </c>
      <c r="C182">
        <f t="shared" si="40"/>
        <v>470</v>
      </c>
      <c r="D182">
        <f t="shared" si="38"/>
        <v>440</v>
      </c>
      <c r="E182">
        <f t="shared" si="39"/>
        <v>520</v>
      </c>
      <c r="F182">
        <f>$G$4+'Data - DA'!D193</f>
        <v>535</v>
      </c>
      <c r="G182">
        <f t="shared" si="36"/>
        <v>535</v>
      </c>
      <c r="H182" t="str">
        <f>'Data - DA'!G193</f>
        <v xml:space="preserve">Aerobar Bolts: Top 25mm; Bottom 15mm </v>
      </c>
    </row>
    <row r="183" spans="2:8" x14ac:dyDescent="0.25">
      <c r="B183" t="str">
        <f>TEXT($B$3,0) &amp;" ----- "&amp;'Data - DA'!B194</f>
        <v>Frame: 47 ----- Stem: 110x0  ----- Aluminium Aerobar + 20 + bridge</v>
      </c>
      <c r="C183">
        <f t="shared" si="40"/>
        <v>470</v>
      </c>
      <c r="D183">
        <f t="shared" si="38"/>
        <v>440</v>
      </c>
      <c r="E183">
        <f t="shared" si="39"/>
        <v>520</v>
      </c>
      <c r="F183">
        <f>$G$4+'Data - DA'!D194</f>
        <v>535</v>
      </c>
      <c r="G183">
        <f t="shared" si="36"/>
        <v>535</v>
      </c>
      <c r="H183" t="str">
        <f>'Data - DA'!G194</f>
        <v xml:space="preserve">Aerobar Bolts: Top 25mm; Bottom 15mm </v>
      </c>
    </row>
    <row r="184" spans="2:8" x14ac:dyDescent="0.25">
      <c r="B184" t="str">
        <f>TEXT($B$3,0) &amp;" ----- "&amp;'Data - DA'!B195</f>
        <v>Frame: 47 ----- Stem: 110x0  ----- Aluminium Aerobar + 30</v>
      </c>
      <c r="C184">
        <f t="shared" si="40"/>
        <v>470</v>
      </c>
      <c r="D184">
        <f t="shared" si="38"/>
        <v>440</v>
      </c>
      <c r="E184">
        <f t="shared" si="39"/>
        <v>520</v>
      </c>
      <c r="F184">
        <f>$G$4+'Data - DA'!D195</f>
        <v>540</v>
      </c>
      <c r="G184">
        <f t="shared" si="36"/>
        <v>540</v>
      </c>
      <c r="H184" t="str">
        <f>'Data - DA'!G195</f>
        <v xml:space="preserve">Aerobar Bolts: Top 25mm; Bottom 15mm </v>
      </c>
    </row>
    <row r="185" spans="2:8" x14ac:dyDescent="0.25">
      <c r="B185" t="str">
        <f>TEXT($B$3,0) &amp;" ----- "&amp;'Data - DA'!B196</f>
        <v>Frame: 47 ----- Stem: 110x0  ----- Aluminium Aerobar + 20 + bridge + 5</v>
      </c>
      <c r="C185">
        <f t="shared" si="40"/>
        <v>470</v>
      </c>
      <c r="D185">
        <f t="shared" si="38"/>
        <v>440</v>
      </c>
      <c r="E185">
        <f t="shared" si="39"/>
        <v>520</v>
      </c>
      <c r="F185">
        <f>$G$4+'Data - DA'!D196</f>
        <v>540</v>
      </c>
      <c r="G185">
        <f t="shared" si="36"/>
        <v>540</v>
      </c>
      <c r="H185" t="str">
        <f>'Data - DA'!G196</f>
        <v xml:space="preserve">Aerobar Bolts: Top 25mm; Bottom 15mm </v>
      </c>
    </row>
    <row r="186" spans="2:8" x14ac:dyDescent="0.25">
      <c r="B186" t="str">
        <f>TEXT($B$3,0) &amp;" ----- "&amp;'Data - DA'!B197</f>
        <v>Frame: 47 ----- Stem: 110x0  ----- Aluminium Aerobar + 30 + bridge</v>
      </c>
      <c r="C186">
        <f t="shared" si="40"/>
        <v>470</v>
      </c>
      <c r="D186">
        <f t="shared" si="38"/>
        <v>440</v>
      </c>
      <c r="E186">
        <f t="shared" si="39"/>
        <v>520</v>
      </c>
      <c r="F186">
        <f>$G$4+'Data - DA'!D197</f>
        <v>545</v>
      </c>
      <c r="G186">
        <f t="shared" si="36"/>
        <v>545</v>
      </c>
      <c r="H186" t="str">
        <f>'Data - DA'!G197</f>
        <v xml:space="preserve">Aerobar Bolts: Top 30mm; Bottom 15mm </v>
      </c>
    </row>
    <row r="187" spans="2:8" x14ac:dyDescent="0.25">
      <c r="B187" t="str">
        <f>TEXT($B$3,0) &amp;" ----- "&amp;'Data - DA'!B198</f>
        <v>Frame: 47 ----- Stem: 110x0  ----- Aluminium Aerobar + 30 + bridge + 5</v>
      </c>
      <c r="C187">
        <f t="shared" si="40"/>
        <v>470</v>
      </c>
      <c r="D187">
        <f t="shared" si="38"/>
        <v>440</v>
      </c>
      <c r="E187">
        <f t="shared" si="39"/>
        <v>520</v>
      </c>
      <c r="F187">
        <f>$G$4+'Data - DA'!D198</f>
        <v>550</v>
      </c>
      <c r="G187">
        <f t="shared" si="36"/>
        <v>550</v>
      </c>
      <c r="H187" t="str">
        <f>'Data - DA'!G198</f>
        <v xml:space="preserve">Aerobar Bolts: Top 30mm; Bottom 15mm </v>
      </c>
    </row>
    <row r="188" spans="2:8" x14ac:dyDescent="0.25">
      <c r="B188" t="str">
        <f>TEXT($B$3,0) &amp;" ----- "&amp;'Data - DA'!B199</f>
        <v>Frame: 47 ----- Stem: 110x0  ----- Aluminium Aerobar + 40 + bridge</v>
      </c>
      <c r="C188">
        <f t="shared" si="40"/>
        <v>470</v>
      </c>
      <c r="D188">
        <f t="shared" si="38"/>
        <v>440</v>
      </c>
      <c r="E188">
        <f t="shared" si="39"/>
        <v>520</v>
      </c>
      <c r="F188">
        <f>$G$4+'Data - DA'!D199</f>
        <v>555</v>
      </c>
      <c r="G188">
        <f t="shared" si="36"/>
        <v>555</v>
      </c>
      <c r="H188" t="str">
        <f>'Data - DA'!G199</f>
        <v xml:space="preserve">Aerobar Bolts: Top 35mm; Bottom 15mm </v>
      </c>
    </row>
    <row r="189" spans="2:8" x14ac:dyDescent="0.25">
      <c r="B189" t="str">
        <f>TEXT($B$3,0) &amp;" ----- "&amp;'Data - DA'!B200</f>
        <v>Frame: 47 ----- Stem: 110x0  ----- Aluminium Aerobar + 40 + bridge + 5</v>
      </c>
      <c r="C189">
        <f t="shared" si="40"/>
        <v>470</v>
      </c>
      <c r="D189">
        <f t="shared" si="38"/>
        <v>440</v>
      </c>
      <c r="E189">
        <f t="shared" si="39"/>
        <v>520</v>
      </c>
      <c r="F189">
        <f>$G$4+'Data - DA'!D200</f>
        <v>560</v>
      </c>
      <c r="G189">
        <f t="shared" si="36"/>
        <v>560</v>
      </c>
      <c r="H189" t="str">
        <f>'Data - DA'!G200</f>
        <v xml:space="preserve">Aerobar Bolts: Top 35mm; Bottom 15mm </v>
      </c>
    </row>
    <row r="190" spans="2:8" x14ac:dyDescent="0.25">
      <c r="B190" t="str">
        <f>TEXT($B$3,0) &amp;" ----- "&amp;'Data - DA'!B201</f>
        <v>Frame: 47 ----- Stem: 110x0  ----- Aluminium Aerobar + 40 + bridge + 10</v>
      </c>
      <c r="C190">
        <f t="shared" si="40"/>
        <v>470</v>
      </c>
      <c r="D190">
        <f t="shared" si="38"/>
        <v>440</v>
      </c>
      <c r="E190">
        <f t="shared" si="39"/>
        <v>520</v>
      </c>
      <c r="F190">
        <f>$G$4+'Data - DA'!D201</f>
        <v>565</v>
      </c>
      <c r="G190">
        <f t="shared" si="36"/>
        <v>565</v>
      </c>
      <c r="H190" t="str">
        <f>'Data - DA'!G201</f>
        <v xml:space="preserve">Aerobar Bolts: Top 35mm; Bottom 15mm </v>
      </c>
    </row>
    <row r="191" spans="2:8" x14ac:dyDescent="0.25">
      <c r="B191" t="str">
        <f>TEXT($B$3,0) &amp;" ----- "&amp;'Data - DA'!B202</f>
        <v>Frame: 47 ----- Stem: 110x0  ----- Aluminium Aerobar + 40 + bridge + 10 + 5</v>
      </c>
      <c r="C191">
        <f t="shared" si="40"/>
        <v>470</v>
      </c>
      <c r="D191">
        <f t="shared" si="38"/>
        <v>440</v>
      </c>
      <c r="E191">
        <f t="shared" si="39"/>
        <v>520</v>
      </c>
      <c r="F191">
        <f>$G$4+'Data - DA'!D202</f>
        <v>570</v>
      </c>
      <c r="G191">
        <f t="shared" si="36"/>
        <v>570</v>
      </c>
      <c r="H191" t="str">
        <f>'Data - DA'!G202</f>
        <v xml:space="preserve">Aerobar Bolts: Top 35mm; Bottom 25mm </v>
      </c>
    </row>
  </sheetData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J83"/>
  <sheetViews>
    <sheetView zoomScale="70" zoomScaleNormal="70" workbookViewId="0">
      <selection activeCell="B4" sqref="B4"/>
    </sheetView>
  </sheetViews>
  <sheetFormatPr defaultRowHeight="15" x14ac:dyDescent="0.25"/>
  <cols>
    <col min="2" max="2" width="63.140625" customWidth="1"/>
    <col min="3" max="3" width="9.140625" customWidth="1"/>
    <col min="4" max="4" width="9.42578125" customWidth="1"/>
    <col min="5" max="5" width="11.140625" hidden="1" customWidth="1"/>
    <col min="6" max="6" width="12" hidden="1" customWidth="1"/>
    <col min="8" max="8" width="19" customWidth="1"/>
    <col min="9" max="9" width="12.1406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97</v>
      </c>
      <c r="C3" t="s">
        <v>2</v>
      </c>
      <c r="D3" t="s">
        <v>1</v>
      </c>
      <c r="H3" t="s">
        <v>15</v>
      </c>
      <c r="I3">
        <v>450</v>
      </c>
      <c r="J3">
        <v>470</v>
      </c>
    </row>
    <row r="4" spans="2:10" x14ac:dyDescent="0.25">
      <c r="B4" t="s">
        <v>10</v>
      </c>
      <c r="C4">
        <v>447</v>
      </c>
      <c r="D4">
        <v>569</v>
      </c>
      <c r="H4" t="s">
        <v>16</v>
      </c>
      <c r="I4">
        <v>565</v>
      </c>
      <c r="J4">
        <v>545</v>
      </c>
    </row>
    <row r="6" spans="2:10" x14ac:dyDescent="0.25">
      <c r="H6" t="s">
        <v>33</v>
      </c>
      <c r="I6">
        <f>C4+'Data - IA'!$C$12</f>
        <v>492</v>
      </c>
    </row>
    <row r="7" spans="2:10" x14ac:dyDescent="0.25">
      <c r="C7" t="s">
        <v>1</v>
      </c>
      <c r="H7" t="s">
        <v>34</v>
      </c>
      <c r="I7">
        <f>C4+'Data - IA'!$C$57</f>
        <v>537</v>
      </c>
    </row>
    <row r="8" spans="2:10" x14ac:dyDescent="0.25">
      <c r="H8" t="s">
        <v>66</v>
      </c>
      <c r="I8">
        <v>535</v>
      </c>
    </row>
    <row r="9" spans="2:10" x14ac:dyDescent="0.25">
      <c r="B9" t="str">
        <f>TEXT($B$3,0) &amp;" ----- "&amp;'Data - IA'!B11</f>
        <v>Frame: 58 ----- Stem: Integrated ----- Aerobar:</v>
      </c>
      <c r="D9">
        <f t="shared" ref="D9:D53" si="0">ROUND(C9/5,0)*5</f>
        <v>0</v>
      </c>
      <c r="E9" t="str">
        <f>'Data - IA'!F11&amp;" "</f>
        <v xml:space="preserve">Stem Bolts: 25mm ----- </v>
      </c>
      <c r="F9" t="str">
        <f>'Data - IA'!I11</f>
        <v xml:space="preserve">Aerobar Bolts: Top N/A; Bottom N/A </v>
      </c>
      <c r="G9" t="str">
        <f>E9&amp;" "&amp;F9</f>
        <v xml:space="preserve">Stem Bolts: 25mm -----  Aerobar Bolts: Top N/A; Bottom N/A </v>
      </c>
    </row>
    <row r="10" spans="2:10" x14ac:dyDescent="0.25">
      <c r="B10" t="str">
        <f>TEXT($B$3,0) &amp;" ----- "&amp;'Data - IA'!B12</f>
        <v>Frame: 58 ----- Stem: Integrated ----- Aerobar:+ 5</v>
      </c>
      <c r="C10">
        <f>$D$4+'Data - IA'!D12</f>
        <v>647</v>
      </c>
      <c r="D10">
        <f t="shared" si="0"/>
        <v>645</v>
      </c>
      <c r="E10" t="str">
        <f>'Data - IA'!F12&amp;" "</f>
        <v xml:space="preserve">Stem Bolts: 25mm ----- </v>
      </c>
      <c r="F10" t="str">
        <f>'Data - IA'!I12</f>
        <v xml:space="preserve">Aerobar Bolts: Top 45mm; Bottom N/A </v>
      </c>
      <c r="G10" t="str">
        <f t="shared" ref="G10:G23" si="1">E10&amp;" "&amp;F10</f>
        <v xml:space="preserve">Stem Bolts: 25mm -----  Aerobar Bolts: Top 45mm; Bottom N/A </v>
      </c>
    </row>
    <row r="11" spans="2:10" x14ac:dyDescent="0.25">
      <c r="B11" t="str">
        <f>TEXT($B$3,0) &amp;" ----- "&amp;'Data - IA'!B13</f>
        <v>Frame: 58 ----- Stem: Integrated ----- Aerobar:+ 10</v>
      </c>
      <c r="C11">
        <f>$D$4+'Data - IA'!D13</f>
        <v>652</v>
      </c>
      <c r="D11">
        <f t="shared" si="0"/>
        <v>650</v>
      </c>
      <c r="E11" t="str">
        <f>'Data - IA'!F13&amp;" "</f>
        <v xml:space="preserve">Stem Bolts: 25mm ----- </v>
      </c>
      <c r="F11" t="str">
        <f>'Data - IA'!I13</f>
        <v xml:space="preserve">Aerobar Bolts: Top 50mm; Bottom N/A </v>
      </c>
      <c r="G11" t="str">
        <f t="shared" si="1"/>
        <v xml:space="preserve">Stem Bolts: 25mm -----  Aerobar Bolts: Top 50mm; Bottom N/A </v>
      </c>
    </row>
    <row r="12" spans="2:10" x14ac:dyDescent="0.25">
      <c r="B12" t="str">
        <f>TEXT($B$3,0) &amp;" ----- "&amp;'Data - IA'!B14</f>
        <v>Frame: 58 ----- Stem: Integrated ----- Aerobar:+ 5 + 10</v>
      </c>
      <c r="C12">
        <f>$D$4+'Data - IA'!D14</f>
        <v>657</v>
      </c>
      <c r="D12">
        <f t="shared" si="0"/>
        <v>655</v>
      </c>
      <c r="E12" t="str">
        <f>'Data - IA'!F14&amp;" "</f>
        <v xml:space="preserve">Stem Bolts: 25mm ----- </v>
      </c>
      <c r="F12" t="str">
        <f>'Data - IA'!I14</f>
        <v xml:space="preserve">Aerobar Bolts: Top 55mm; Bottom N/A </v>
      </c>
      <c r="G12" t="str">
        <f t="shared" si="1"/>
        <v xml:space="preserve">Stem Bolts: 25mm -----  Aerobar Bolts: Top 55mm; Bottom N/A </v>
      </c>
    </row>
    <row r="13" spans="2:10" x14ac:dyDescent="0.25">
      <c r="B13" t="str">
        <f>TEXT($B$3,0) &amp;" ----- "&amp;'Data - IA'!B15</f>
        <v>Frame: 58 ----- Stem: Integrated ----- Aerobar:+ 20</v>
      </c>
      <c r="C13">
        <f>$D$4+'Data - IA'!D15</f>
        <v>662</v>
      </c>
      <c r="D13">
        <f t="shared" si="0"/>
        <v>660</v>
      </c>
      <c r="E13" t="str">
        <f>'Data - IA'!F15&amp;" "</f>
        <v xml:space="preserve">Stem Bolts: 25mm ----- </v>
      </c>
      <c r="F13" t="str">
        <f>'Data - IA'!I15</f>
        <v xml:space="preserve">Aerobar Bolts: Top 20mm; Bottom 30mm </v>
      </c>
      <c r="G13" t="str">
        <f t="shared" si="1"/>
        <v xml:space="preserve">Stem Bolts: 25mm -----  Aerobar Bolts: Top 20mm; Bottom 30mm </v>
      </c>
    </row>
    <row r="14" spans="2:10" x14ac:dyDescent="0.25">
      <c r="B14" t="str">
        <f>TEXT($B$3,0) &amp;" ----- "&amp;'Data - IA'!B16</f>
        <v>Frame: 58 ----- Stem: Integrated ----- Aerobar:+ 20 + 5</v>
      </c>
      <c r="C14">
        <f>$D$4+'Data - IA'!D16</f>
        <v>667</v>
      </c>
      <c r="D14">
        <f t="shared" si="0"/>
        <v>665</v>
      </c>
      <c r="E14" t="str">
        <f>'Data - IA'!F16&amp;" "</f>
        <v xml:space="preserve">Stem Bolts: 25mm ----- </v>
      </c>
      <c r="F14" t="str">
        <f>'Data - IA'!I16</f>
        <v xml:space="preserve">Aerobar Bolts: Top 25mm; Bottom 30mm </v>
      </c>
      <c r="G14" t="str">
        <f t="shared" si="1"/>
        <v xml:space="preserve">Stem Bolts: 25mm -----  Aerobar Bolts: Top 25mm; Bottom 30mm </v>
      </c>
    </row>
    <row r="15" spans="2:10" x14ac:dyDescent="0.25">
      <c r="B15" t="str">
        <f>TEXT($B$3,0) &amp;" ----- "&amp;'Data - IA'!B17</f>
        <v>Frame: 58 ----- Stem: Integrated ----- Aerobar:+ 20 + bridge</v>
      </c>
      <c r="C15">
        <f>$D$4+'Data - IA'!D17</f>
        <v>667</v>
      </c>
      <c r="D15">
        <f t="shared" si="0"/>
        <v>665</v>
      </c>
      <c r="E15" t="str">
        <f>'Data - IA'!F17&amp;" "</f>
        <v xml:space="preserve">Stem Bolts: 25mm ----- </v>
      </c>
      <c r="F15" t="str">
        <f>'Data - IA'!I17</f>
        <v xml:space="preserve">Aerobar Bolts: Top 25mm; Bottom 30mm </v>
      </c>
      <c r="G15" t="str">
        <f t="shared" si="1"/>
        <v xml:space="preserve">Stem Bolts: 25mm -----  Aerobar Bolts: Top 25mm; Bottom 30mm </v>
      </c>
    </row>
    <row r="16" spans="2:10" x14ac:dyDescent="0.25">
      <c r="B16" t="str">
        <f>TEXT($B$3,0) &amp;" ----- "&amp;'Data - IA'!B18</f>
        <v>Frame: 58 ----- Stem: Integrated ----- Aerobar:+ 30</v>
      </c>
      <c r="C16">
        <f>$D$4+'Data - IA'!D18</f>
        <v>672</v>
      </c>
      <c r="D16">
        <f t="shared" si="0"/>
        <v>670</v>
      </c>
      <c r="E16" t="str">
        <f>'Data - IA'!F18&amp;" "</f>
        <v xml:space="preserve">Stem Bolts: 25mm ----- </v>
      </c>
      <c r="F16" t="str">
        <f>'Data - IA'!I18</f>
        <v xml:space="preserve">Aerobar Bolts: Top 25mm; Bottom 30mm </v>
      </c>
      <c r="G16" t="str">
        <f t="shared" si="1"/>
        <v xml:space="preserve">Stem Bolts: 25mm -----  Aerobar Bolts: Top 25mm; Bottom 30mm </v>
      </c>
    </row>
    <row r="17" spans="2:7" x14ac:dyDescent="0.25">
      <c r="B17" t="str">
        <f>TEXT($B$3,0) &amp;" ----- "&amp;'Data - IA'!B19</f>
        <v>Frame: 58 ----- Stem: Integrated ----- Aerobar:+ 20 + bridge + 5</v>
      </c>
      <c r="C17">
        <f>$D$4+'Data - IA'!D19</f>
        <v>672</v>
      </c>
      <c r="D17">
        <f t="shared" si="0"/>
        <v>670</v>
      </c>
      <c r="E17" t="str">
        <f>'Data - IA'!F19&amp;" "</f>
        <v xml:space="preserve">Stem Bolts: 25mm ----- </v>
      </c>
      <c r="F17" t="str">
        <f>'Data - IA'!I19</f>
        <v xml:space="preserve">Aerobar Bolts: Top 30mm; Bottom 30mm </v>
      </c>
      <c r="G17" t="str">
        <f t="shared" si="1"/>
        <v xml:space="preserve">Stem Bolts: 25mm -----  Aerobar Bolts: Top 30mm; Bottom 30mm </v>
      </c>
    </row>
    <row r="18" spans="2:7" x14ac:dyDescent="0.25">
      <c r="B18" t="str">
        <f>TEXT($B$3,0) &amp;" ----- "&amp;'Data - IA'!B20</f>
        <v>Frame: 58 ----- Stem: Integrated ----- Aerobar:+ 30 + bridge</v>
      </c>
      <c r="C18">
        <f>$D$4+'Data - IA'!D20</f>
        <v>677</v>
      </c>
      <c r="D18">
        <f t="shared" si="0"/>
        <v>675</v>
      </c>
      <c r="E18" t="str">
        <f>'Data - IA'!F20&amp;" "</f>
        <v xml:space="preserve">Stem Bolts: 25mm ----- </v>
      </c>
      <c r="F18" t="str">
        <f>'Data - IA'!I20</f>
        <v xml:space="preserve">Aerobar Bolts: Top 30mm; Bottom 30mm </v>
      </c>
      <c r="G18" t="str">
        <f t="shared" si="1"/>
        <v xml:space="preserve">Stem Bolts: 25mm -----  Aerobar Bolts: Top 30mm; Bottom 30mm </v>
      </c>
    </row>
    <row r="19" spans="2:7" x14ac:dyDescent="0.25">
      <c r="B19" t="str">
        <f>TEXT($B$3,0) &amp;" ----- "&amp;'Data - IA'!B21</f>
        <v>Frame: 58 ----- Stem: Integrated ----- Aerobar:+ 30 + bridge + 5</v>
      </c>
      <c r="C19">
        <f>$D$4+'Data - IA'!D21</f>
        <v>682</v>
      </c>
      <c r="D19">
        <f t="shared" si="0"/>
        <v>680</v>
      </c>
      <c r="E19" t="str">
        <f>'Data - IA'!F21&amp;" "</f>
        <v xml:space="preserve">Stem Bolts: 25mm ----- </v>
      </c>
      <c r="F19" t="str">
        <f>'Data - IA'!I21</f>
        <v xml:space="preserve">Aerobar Bolts: Top 35mm; Bottom 30mm </v>
      </c>
      <c r="G19" t="str">
        <f t="shared" si="1"/>
        <v xml:space="preserve">Stem Bolts: 25mm -----  Aerobar Bolts: Top 35mm; Bottom 30mm </v>
      </c>
    </row>
    <row r="20" spans="2:7" x14ac:dyDescent="0.25">
      <c r="B20" t="str">
        <f>TEXT($B$3,0) &amp;" ----- "&amp;'Data - IA'!B22</f>
        <v>Frame: 58 ----- Stem: Integrated ----- Aerobar:+ 40 + bridge</v>
      </c>
      <c r="C20">
        <f>$D$4+'Data - IA'!D22</f>
        <v>687</v>
      </c>
      <c r="D20">
        <f t="shared" si="0"/>
        <v>685</v>
      </c>
      <c r="E20" t="str">
        <f>'Data - IA'!F22&amp;" "</f>
        <v xml:space="preserve">Stem Bolts: 25mm ----- </v>
      </c>
      <c r="F20" t="str">
        <f>'Data - IA'!I22</f>
        <v xml:space="preserve">Aerobar Bolts: Top 35mm; Bottom 30mm </v>
      </c>
      <c r="G20" t="str">
        <f t="shared" si="1"/>
        <v xml:space="preserve">Stem Bolts: 25mm -----  Aerobar Bolts: Top 35mm; Bottom 30mm </v>
      </c>
    </row>
    <row r="21" spans="2:7" x14ac:dyDescent="0.25">
      <c r="B21" t="str">
        <f>TEXT($B$3,0) &amp;" ----- "&amp;'Data - IA'!B23</f>
        <v>Frame: 58 ----- Stem: Integrated ----- Aerobar:+ 40 + bridge + 5</v>
      </c>
      <c r="C21">
        <f>$D$4+'Data - IA'!D23</f>
        <v>692</v>
      </c>
      <c r="D21">
        <f t="shared" si="0"/>
        <v>690</v>
      </c>
      <c r="E21" t="str">
        <f>'Data - IA'!F23&amp;" "</f>
        <v xml:space="preserve">Stem Bolts: 25mm ----- </v>
      </c>
      <c r="F21" t="str">
        <f>'Data - IA'!I23</f>
        <v xml:space="preserve">Aerobar Bolts: Top 35mm; Bottom 30mm </v>
      </c>
      <c r="G21" t="str">
        <f t="shared" si="1"/>
        <v xml:space="preserve">Stem Bolts: 25mm -----  Aerobar Bolts: Top 35mm; Bottom 30mm </v>
      </c>
    </row>
    <row r="22" spans="2:7" x14ac:dyDescent="0.25">
      <c r="B22" t="str">
        <f>TEXT($B$3,0) &amp;" ----- "&amp;'Data - IA'!B24</f>
        <v>Frame: 58 ----- Stem: Integrated ----- Aerobar:+ 40 + bridge + 10</v>
      </c>
      <c r="C22">
        <f>$D$4+'Data - IA'!D24</f>
        <v>697</v>
      </c>
      <c r="D22">
        <f t="shared" si="0"/>
        <v>695</v>
      </c>
      <c r="E22" t="str">
        <f>'Data - IA'!F24&amp;" "</f>
        <v xml:space="preserve">Stem Bolts: 25mm ----- </v>
      </c>
      <c r="F22" t="str">
        <f>'Data - IA'!I24</f>
        <v xml:space="preserve">Aerobar Bolts: Top 40mm; Bottom 30mm </v>
      </c>
      <c r="G22" t="str">
        <f t="shared" si="1"/>
        <v xml:space="preserve">Stem Bolts: 25mm -----  Aerobar Bolts: Top 40mm; Bottom 30mm </v>
      </c>
    </row>
    <row r="23" spans="2:7" x14ac:dyDescent="0.25">
      <c r="B23" t="str">
        <f>TEXT($B$3,0) &amp;" ----- "&amp;'Data - IA'!B25</f>
        <v>Frame: 58 ----- Stem: Integrated ----- Aerobar:+ 40 + bridge + 10 + 5</v>
      </c>
      <c r="C23">
        <f>$D$4+'Data - IA'!D25</f>
        <v>702</v>
      </c>
      <c r="D23">
        <f t="shared" si="0"/>
        <v>700</v>
      </c>
      <c r="E23" t="str">
        <f>'Data - IA'!F25&amp;" "</f>
        <v xml:space="preserve">Stem Bolts: 25mm ----- </v>
      </c>
      <c r="F23" t="str">
        <f>'Data - IA'!I25</f>
        <v xml:space="preserve">Aerobar Bolts: Top 45mm; Bottom 30mm </v>
      </c>
      <c r="G23" t="str">
        <f t="shared" si="1"/>
        <v xml:space="preserve">Stem Bolts: 25mm -----  Aerobar Bolts: Top 45mm; Bottom 30mm </v>
      </c>
    </row>
    <row r="24" spans="2:7" x14ac:dyDescent="0.25">
      <c r="B24" t="str">
        <f>TEXT($B$3,0) &amp;" ----- "&amp;'Data - IA'!B26</f>
        <v xml:space="preserve">Frame: 58 ----- Stem: Integrated w/15 ----- Aerobar: </v>
      </c>
      <c r="D24">
        <f t="shared" si="0"/>
        <v>0</v>
      </c>
      <c r="E24" t="str">
        <f>'Data - IA'!F26&amp;" "</f>
        <v xml:space="preserve">Stem Bolts: 40mm ----- </v>
      </c>
      <c r="F24" t="str">
        <f>'Data - IA'!I26</f>
        <v xml:space="preserve">Aerobar Bolts: Top N/A; Bottom N/A </v>
      </c>
      <c r="G24" t="str">
        <f>E24&amp;" "&amp;F24</f>
        <v xml:space="preserve">Stem Bolts: 40mm -----  Aerobar Bolts: Top N/A; Bottom N/A </v>
      </c>
    </row>
    <row r="25" spans="2:7" x14ac:dyDescent="0.25">
      <c r="B25" t="str">
        <f>TEXT($B$3,0) &amp;" ----- "&amp;'Data - IA'!B27</f>
        <v>Frame: 58 ----- Stem: Integrated w/15 ----- Aerobar: + 5</v>
      </c>
      <c r="C25">
        <f>$D$4+'Data - IA'!D27</f>
        <v>662</v>
      </c>
      <c r="D25">
        <f t="shared" si="0"/>
        <v>660</v>
      </c>
      <c r="E25" t="str">
        <f>'Data - IA'!F27&amp;" "</f>
        <v xml:space="preserve">Stem Bolts: 40mm ----- </v>
      </c>
      <c r="F25" t="str">
        <f>'Data - IA'!I27</f>
        <v xml:space="preserve">Aerobar Bolts: Top 45mm; Bottom N/A </v>
      </c>
      <c r="G25" t="str">
        <f t="shared" ref="G25:G36" si="2">E25&amp;" "&amp;F25</f>
        <v xml:space="preserve">Stem Bolts: 40mm -----  Aerobar Bolts: Top 45mm; Bottom N/A </v>
      </c>
    </row>
    <row r="26" spans="2:7" x14ac:dyDescent="0.25">
      <c r="B26" t="str">
        <f>TEXT($B$3,0) &amp;" ----- "&amp;'Data - IA'!B28</f>
        <v>Frame: 58 ----- Stem: Integrated w/15 ----- Aerobar: + 10</v>
      </c>
      <c r="C26">
        <f>$D$4+'Data - IA'!D28</f>
        <v>667</v>
      </c>
      <c r="D26">
        <f t="shared" si="0"/>
        <v>665</v>
      </c>
      <c r="E26" t="str">
        <f>'Data - IA'!F28&amp;" "</f>
        <v xml:space="preserve">Stem Bolts: 40mm ----- </v>
      </c>
      <c r="F26" t="str">
        <f>'Data - IA'!I28</f>
        <v xml:space="preserve">Aerobar Bolts: Top 50mm; Bottom N/A </v>
      </c>
      <c r="G26" t="str">
        <f t="shared" si="2"/>
        <v xml:space="preserve">Stem Bolts: 40mm -----  Aerobar Bolts: Top 50mm; Bottom N/A </v>
      </c>
    </row>
    <row r="27" spans="2:7" x14ac:dyDescent="0.25">
      <c r="B27" t="str">
        <f>TEXT($B$3,0) &amp;" ----- "&amp;'Data - IA'!B29</f>
        <v>Frame: 58 ----- Stem: Integrated w/15 ----- Aerobar: + 5 + 10</v>
      </c>
      <c r="C27">
        <f>$D$4+'Data - IA'!D29</f>
        <v>672</v>
      </c>
      <c r="D27">
        <f t="shared" si="0"/>
        <v>670</v>
      </c>
      <c r="E27" t="str">
        <f>'Data - IA'!F29&amp;" "</f>
        <v xml:space="preserve">Stem Bolts: 40mm ----- </v>
      </c>
      <c r="F27" t="str">
        <f>'Data - IA'!I29</f>
        <v xml:space="preserve">Aerobar Bolts: Top 55mm; Bottom N/A </v>
      </c>
      <c r="G27" t="str">
        <f t="shared" si="2"/>
        <v xml:space="preserve">Stem Bolts: 40mm -----  Aerobar Bolts: Top 55mm; Bottom N/A </v>
      </c>
    </row>
    <row r="28" spans="2:7" x14ac:dyDescent="0.25">
      <c r="B28" t="str">
        <f>TEXT($B$3,0) &amp;" ----- "&amp;'Data - IA'!B30</f>
        <v>Frame: 58 ----- Stem: Integrated w/15 ----- Aerobar: + 20</v>
      </c>
      <c r="C28">
        <f>$D$4+'Data - IA'!D30</f>
        <v>677</v>
      </c>
      <c r="D28">
        <f t="shared" si="0"/>
        <v>675</v>
      </c>
      <c r="E28" t="str">
        <f>'Data - IA'!F30&amp;" "</f>
        <v xml:space="preserve">Stem Bolts: 40mm ----- </v>
      </c>
      <c r="F28" t="str">
        <f>'Data - IA'!I30</f>
        <v xml:space="preserve">Aerobar Bolts: Top 20mm; Bottom 30mm </v>
      </c>
      <c r="G28" t="str">
        <f t="shared" si="2"/>
        <v xml:space="preserve">Stem Bolts: 40mm -----  Aerobar Bolts: Top 20mm; Bottom 30mm </v>
      </c>
    </row>
    <row r="29" spans="2:7" x14ac:dyDescent="0.25">
      <c r="B29" t="str">
        <f>TEXT($B$3,0) &amp;" ----- "&amp;'Data - IA'!B31</f>
        <v>Frame: 58 ----- Stem: Integrated w/15 ----- Aerobar: + 20 + 5</v>
      </c>
      <c r="C29">
        <f>$D$4+'Data - IA'!D31</f>
        <v>682</v>
      </c>
      <c r="D29">
        <f t="shared" si="0"/>
        <v>680</v>
      </c>
      <c r="E29" t="str">
        <f>'Data - IA'!F31&amp;" "</f>
        <v xml:space="preserve">Stem Bolts: 40mm ----- </v>
      </c>
      <c r="F29" t="str">
        <f>'Data - IA'!I31</f>
        <v xml:space="preserve">Aerobar Bolts: Top 25mm; Bottom 30mm </v>
      </c>
      <c r="G29" t="str">
        <f t="shared" si="2"/>
        <v xml:space="preserve">Stem Bolts: 40mm -----  Aerobar Bolts: Top 25mm; Bottom 30mm </v>
      </c>
    </row>
    <row r="30" spans="2:7" x14ac:dyDescent="0.25">
      <c r="B30" t="str">
        <f>TEXT($B$3,0) &amp;" ----- "&amp;'Data - IA'!B32</f>
        <v>Frame: 58 ----- Stem: Integrated w/15 ----- Aerobar: + 20 + bridge</v>
      </c>
      <c r="C30">
        <f>$D$4+'Data - IA'!D32</f>
        <v>682</v>
      </c>
      <c r="D30">
        <f t="shared" si="0"/>
        <v>680</v>
      </c>
      <c r="E30" t="str">
        <f>'Data - IA'!F32&amp;" "</f>
        <v xml:space="preserve">Stem Bolts: 40mm ----- </v>
      </c>
      <c r="F30" t="str">
        <f>'Data - IA'!I32</f>
        <v xml:space="preserve">Aerobar Bolts: Top 25mm; Bottom 30mm </v>
      </c>
      <c r="G30" t="str">
        <f t="shared" si="2"/>
        <v xml:space="preserve">Stem Bolts: 40mm -----  Aerobar Bolts: Top 25mm; Bottom 30mm </v>
      </c>
    </row>
    <row r="31" spans="2:7" x14ac:dyDescent="0.25">
      <c r="B31" t="str">
        <f>TEXT($B$3,0) &amp;" ----- "&amp;'Data - IA'!B33</f>
        <v>Frame: 58 ----- Stem: Integrated w/15 ----- Aerobar: + 30</v>
      </c>
      <c r="C31">
        <f>$D$4+'Data - IA'!D33</f>
        <v>687</v>
      </c>
      <c r="D31">
        <f t="shared" si="0"/>
        <v>685</v>
      </c>
      <c r="E31" t="str">
        <f>'Data - IA'!F33&amp;" "</f>
        <v xml:space="preserve">Stem Bolts: 40mm ----- </v>
      </c>
      <c r="F31" t="str">
        <f>'Data - IA'!I33</f>
        <v xml:space="preserve">Aerobar Bolts: Top 25mm; Bottom 30mm </v>
      </c>
      <c r="G31" t="str">
        <f t="shared" si="2"/>
        <v xml:space="preserve">Stem Bolts: 40mm -----  Aerobar Bolts: Top 25mm; Bottom 30mm </v>
      </c>
    </row>
    <row r="32" spans="2:7" x14ac:dyDescent="0.25">
      <c r="B32" t="str">
        <f>TEXT($B$3,0) &amp;" ----- "&amp;'Data - IA'!B34</f>
        <v>Frame: 58 ----- Stem: Integrated w/15 ----- Aerobar: + 20 + bridge + 5</v>
      </c>
      <c r="C32">
        <f>$D$4+'Data - IA'!D34</f>
        <v>687</v>
      </c>
      <c r="D32">
        <f t="shared" si="0"/>
        <v>685</v>
      </c>
      <c r="E32" t="str">
        <f>'Data - IA'!F34&amp;" "</f>
        <v xml:space="preserve">Stem Bolts: 40mm ----- </v>
      </c>
      <c r="F32" t="str">
        <f>'Data - IA'!I34</f>
        <v xml:space="preserve">Aerobar Bolts: Top 30mm; Bottom 30mm </v>
      </c>
      <c r="G32" t="str">
        <f t="shared" si="2"/>
        <v xml:space="preserve">Stem Bolts: 40mm -----  Aerobar Bolts: Top 30mm; Bottom 30mm </v>
      </c>
    </row>
    <row r="33" spans="2:7" x14ac:dyDescent="0.25">
      <c r="B33" t="str">
        <f>TEXT($B$3,0) &amp;" ----- "&amp;'Data - IA'!B35</f>
        <v>Frame: 58 ----- Stem: Integrated w/15 ----- Aerobar: + 30 + bridge</v>
      </c>
      <c r="C33">
        <f>$D$4+'Data - IA'!D35</f>
        <v>692</v>
      </c>
      <c r="D33">
        <f t="shared" si="0"/>
        <v>690</v>
      </c>
      <c r="E33" t="str">
        <f>'Data - IA'!F35&amp;" "</f>
        <v xml:space="preserve">Stem Bolts: 40mm ----- </v>
      </c>
      <c r="F33" t="str">
        <f>'Data - IA'!I35</f>
        <v xml:space="preserve">Aerobar Bolts: Top 30mm; Bottom 30mm </v>
      </c>
      <c r="G33" t="str">
        <f t="shared" si="2"/>
        <v xml:space="preserve">Stem Bolts: 40mm -----  Aerobar Bolts: Top 30mm; Bottom 30mm </v>
      </c>
    </row>
    <row r="34" spans="2:7" x14ac:dyDescent="0.25">
      <c r="B34" t="str">
        <f>TEXT($B$3,0) &amp;" ----- "&amp;'Data - IA'!B36</f>
        <v>Frame: 58 ----- Stem: Integrated w/15 ----- Aerobar: + 30 + bridge + 5</v>
      </c>
      <c r="C34">
        <f>$D$4+'Data - IA'!D36</f>
        <v>697</v>
      </c>
      <c r="D34">
        <f t="shared" si="0"/>
        <v>695</v>
      </c>
      <c r="E34" t="str">
        <f>'Data - IA'!F36&amp;" "</f>
        <v xml:space="preserve">Stem Bolts: 40mm ----- </v>
      </c>
      <c r="F34" t="str">
        <f>'Data - IA'!I36</f>
        <v xml:space="preserve">Aerobar Bolts: Top 35mm; Bottom 30mm </v>
      </c>
      <c r="G34" t="str">
        <f t="shared" si="2"/>
        <v xml:space="preserve">Stem Bolts: 40mm -----  Aerobar Bolts: Top 35mm; Bottom 30mm </v>
      </c>
    </row>
    <row r="35" spans="2:7" x14ac:dyDescent="0.25">
      <c r="B35" t="str">
        <f>TEXT($B$3,0) &amp;" ----- "&amp;'Data - IA'!B37</f>
        <v>Frame: 58 ----- Stem: Integrated w/15 ----- Aerobar: + 40 + bridge</v>
      </c>
      <c r="C35">
        <f>$D$4+'Data - IA'!D37</f>
        <v>702</v>
      </c>
      <c r="D35">
        <f t="shared" si="0"/>
        <v>700</v>
      </c>
      <c r="E35" t="str">
        <f>'Data - IA'!F37&amp;" "</f>
        <v xml:space="preserve">Stem Bolts: 40mm ----- </v>
      </c>
      <c r="F35" t="str">
        <f>'Data - IA'!I37</f>
        <v xml:space="preserve">Aerobar Bolts: Top 35mm; Bottom 30mm </v>
      </c>
      <c r="G35" t="str">
        <f t="shared" si="2"/>
        <v xml:space="preserve">Stem Bolts: 40mm -----  Aerobar Bolts: Top 35mm; Bottom 30mm </v>
      </c>
    </row>
    <row r="36" spans="2:7" x14ac:dyDescent="0.25">
      <c r="B36" t="str">
        <f>TEXT($B$3,0) &amp;" ----- "&amp;'Data - IA'!B38</f>
        <v>Frame: 58 ----- Stem: Integrated w/15 ----- Aerobar: + 40 + bridge + 5</v>
      </c>
      <c r="C36">
        <f>$D$4+'Data - IA'!D38</f>
        <v>707</v>
      </c>
      <c r="D36">
        <f t="shared" si="0"/>
        <v>705</v>
      </c>
      <c r="E36" t="str">
        <f>'Data - IA'!F38&amp;" "</f>
        <v xml:space="preserve">Stem Bolts: 40mm ----- </v>
      </c>
      <c r="F36" t="str">
        <f>'Data - IA'!I38</f>
        <v xml:space="preserve">Aerobar Bolts: Top 35mm; Bottom 30mm </v>
      </c>
      <c r="G36" t="str">
        <f t="shared" si="2"/>
        <v xml:space="preserve">Stem Bolts: 40mm -----  Aerobar Bolts: Top 35mm; Bottom 30mm </v>
      </c>
    </row>
    <row r="37" spans="2:7" x14ac:dyDescent="0.25">
      <c r="B37" t="str">
        <f>TEXT($B$3,0) &amp;" ----- "&amp;'Data - IA'!B39</f>
        <v>Frame: 58 ----- Stem: Integrated w/15 ----- Aerobar: + 40 + bridge + 10</v>
      </c>
      <c r="C37">
        <f>$D$4+'Data - IA'!D39</f>
        <v>712</v>
      </c>
      <c r="D37">
        <f t="shared" si="0"/>
        <v>710</v>
      </c>
      <c r="E37" t="str">
        <f>'Data - IA'!F39&amp;" "</f>
        <v xml:space="preserve">Stem Bolts: 40mm ----- </v>
      </c>
      <c r="F37" t="str">
        <f>'Data - IA'!I39</f>
        <v xml:space="preserve">Aerobar Bolts: Top 40mm; Bottom 30mm </v>
      </c>
      <c r="G37" t="str">
        <f>E37&amp;" "&amp;F37</f>
        <v xml:space="preserve">Stem Bolts: 40mm -----  Aerobar Bolts: Top 40mm; Bottom 30mm </v>
      </c>
    </row>
    <row r="38" spans="2:7" x14ac:dyDescent="0.25">
      <c r="B38" t="str">
        <f>TEXT($B$3,0) &amp;" ----- "&amp;'Data - IA'!B40</f>
        <v>Frame: 58 ----- Stem: Integrated w/15 ----- Aerobar: + 40 + bridge + 10 + 5</v>
      </c>
      <c r="C38">
        <f>$D$4+'Data - IA'!D40</f>
        <v>717</v>
      </c>
      <c r="D38">
        <f t="shared" si="0"/>
        <v>715</v>
      </c>
      <c r="E38" t="str">
        <f>'Data - IA'!F40&amp;" "</f>
        <v xml:space="preserve">Stem Bolts: 40mm ----- </v>
      </c>
      <c r="F38" t="str">
        <f>'Data - IA'!I40</f>
        <v xml:space="preserve">Aerobar Bolts: Top 45mm; Bottom 30mm </v>
      </c>
      <c r="G38" t="str">
        <f t="shared" ref="G38:G47" si="3">E38&amp;" "&amp;F38</f>
        <v xml:space="preserve">Stem Bolts: 40mm -----  Aerobar Bolts: Top 45mm; Bottom 30mm </v>
      </c>
    </row>
    <row r="39" spans="2:7" x14ac:dyDescent="0.25">
      <c r="B39" t="str">
        <f>TEXT($B$3,0) &amp;" ----- "&amp;'Data - IA'!B41</f>
        <v xml:space="preserve">Frame: 58 ----- Stem: Integrated w/30 ----- Aerobar: </v>
      </c>
      <c r="D39">
        <f t="shared" si="0"/>
        <v>0</v>
      </c>
      <c r="E39" t="str">
        <f>'Data - IA'!F41&amp;" "</f>
        <v xml:space="preserve">Stem Bolts: 55mm ----- </v>
      </c>
      <c r="F39" t="str">
        <f>'Data - IA'!I41</f>
        <v xml:space="preserve">Aerobar Bolts: Top N/A; Bottom N/A </v>
      </c>
      <c r="G39" t="str">
        <f t="shared" si="3"/>
        <v xml:space="preserve">Stem Bolts: 55mm -----  Aerobar Bolts: Top N/A; Bottom N/A </v>
      </c>
    </row>
    <row r="40" spans="2:7" x14ac:dyDescent="0.25">
      <c r="B40" t="str">
        <f>TEXT($B$3,0) &amp;" ----- "&amp;'Data - IA'!B42</f>
        <v>Frame: 58 ----- Stem: Integrated w/30 ----- Aerobar: + 5</v>
      </c>
      <c r="C40">
        <f>$D$4+'Data - IA'!D42</f>
        <v>677</v>
      </c>
      <c r="D40">
        <f>ROUND(C40/5,0)*5</f>
        <v>675</v>
      </c>
      <c r="E40" t="str">
        <f>'Data - IA'!F42&amp;" "</f>
        <v xml:space="preserve">Stem Bolts: 55mm ----- </v>
      </c>
      <c r="F40" t="str">
        <f>'Data - IA'!I42</f>
        <v xml:space="preserve">Aerobar Bolts: Top 45mm; Bottom N/A </v>
      </c>
      <c r="G40" t="str">
        <f t="shared" si="3"/>
        <v xml:space="preserve">Stem Bolts: 55mm -----  Aerobar Bolts: Top 45mm; Bottom N/A </v>
      </c>
    </row>
    <row r="41" spans="2:7" x14ac:dyDescent="0.25">
      <c r="B41" t="str">
        <f>TEXT($B$3,0) &amp;" ----- "&amp;'Data - IA'!B43</f>
        <v>Frame: 58 ----- Stem: Integrated w/30 ----- Aerobar: + 10</v>
      </c>
      <c r="C41">
        <f>$D$4+'Data - IA'!D43</f>
        <v>682</v>
      </c>
      <c r="D41">
        <f t="shared" si="0"/>
        <v>680</v>
      </c>
      <c r="E41" t="str">
        <f>'Data - IA'!F43&amp;" "</f>
        <v xml:space="preserve">Stem Bolts: 55mm ----- </v>
      </c>
      <c r="F41" t="str">
        <f>'Data - IA'!I43</f>
        <v xml:space="preserve">Aerobar Bolts: Top 50mm; Bottom N/A </v>
      </c>
      <c r="G41" t="str">
        <f t="shared" si="3"/>
        <v xml:space="preserve">Stem Bolts: 55mm -----  Aerobar Bolts: Top 50mm; Bottom N/A </v>
      </c>
    </row>
    <row r="42" spans="2:7" x14ac:dyDescent="0.25">
      <c r="B42" t="str">
        <f>TEXT($B$3,0) &amp;" ----- "&amp;'Data - IA'!B44</f>
        <v>Frame: 58 ----- Stem: Integrated w/30 ----- Aerobar: + 5 + 10</v>
      </c>
      <c r="C42">
        <f>$D$4+'Data - IA'!D44</f>
        <v>687</v>
      </c>
      <c r="D42">
        <f t="shared" si="0"/>
        <v>685</v>
      </c>
      <c r="E42" t="str">
        <f>'Data - IA'!F44&amp;" "</f>
        <v xml:space="preserve">Stem Bolts: 55mm ----- </v>
      </c>
      <c r="F42" t="str">
        <f>'Data - IA'!I44</f>
        <v xml:space="preserve">Aerobar Bolts: Top 55mm; Bottom N/A </v>
      </c>
      <c r="G42" t="str">
        <f t="shared" si="3"/>
        <v xml:space="preserve">Stem Bolts: 55mm -----  Aerobar Bolts: Top 55mm; Bottom N/A </v>
      </c>
    </row>
    <row r="43" spans="2:7" x14ac:dyDescent="0.25">
      <c r="B43" t="str">
        <f>TEXT($B$3,0) &amp;" ----- "&amp;'Data - IA'!B45</f>
        <v>Frame: 58 ----- Stem: Integrated w/30 ----- Aerobar: + 20</v>
      </c>
      <c r="C43">
        <f>$D$4+'Data - IA'!D45</f>
        <v>692</v>
      </c>
      <c r="D43">
        <f t="shared" si="0"/>
        <v>690</v>
      </c>
      <c r="E43" t="str">
        <f>'Data - IA'!F45&amp;" "</f>
        <v xml:space="preserve">Stem Bolts: 55mm ----- </v>
      </c>
      <c r="F43" t="str">
        <f>'Data - IA'!I45</f>
        <v xml:space="preserve">Aerobar Bolts: Top 20mm; Bottom 30mm </v>
      </c>
      <c r="G43" t="str">
        <f t="shared" si="3"/>
        <v xml:space="preserve">Stem Bolts: 55mm -----  Aerobar Bolts: Top 20mm; Bottom 30mm </v>
      </c>
    </row>
    <row r="44" spans="2:7" x14ac:dyDescent="0.25">
      <c r="B44" t="str">
        <f>TEXT($B$3,0) &amp;" ----- "&amp;'Data - IA'!B46</f>
        <v>Frame: 58 ----- Stem: Integrated w/30 ----- Aerobar: + 20 + 5</v>
      </c>
      <c r="C44">
        <f>$D$4+'Data - IA'!D46</f>
        <v>697</v>
      </c>
      <c r="D44">
        <f t="shared" si="0"/>
        <v>695</v>
      </c>
      <c r="E44" t="str">
        <f>'Data - IA'!F46&amp;" "</f>
        <v xml:space="preserve">Stem Bolts: 55mm ----- </v>
      </c>
      <c r="F44" t="str">
        <f>'Data - IA'!I46</f>
        <v xml:space="preserve">Aerobar Bolts: Top 25mm; Bottom 30mm </v>
      </c>
      <c r="G44" t="str">
        <f t="shared" si="3"/>
        <v xml:space="preserve">Stem Bolts: 55mm -----  Aerobar Bolts: Top 25mm; Bottom 30mm </v>
      </c>
    </row>
    <row r="45" spans="2:7" x14ac:dyDescent="0.25">
      <c r="B45" t="str">
        <f>TEXT($B$3,0) &amp;" ----- "&amp;'Data - IA'!B47</f>
        <v>Frame: 58 ----- Stem: Integrated w/30 ----- Aerobar: + 20 + bridge</v>
      </c>
      <c r="C45">
        <f>$D$4+'Data - IA'!D47</f>
        <v>697</v>
      </c>
      <c r="D45">
        <f t="shared" si="0"/>
        <v>695</v>
      </c>
      <c r="E45" t="str">
        <f>'Data - IA'!F47&amp;" "</f>
        <v xml:space="preserve">Stem Bolts: 55mm ----- </v>
      </c>
      <c r="F45" t="str">
        <f>'Data - IA'!I47</f>
        <v xml:space="preserve">Aerobar Bolts: Top 25mm; Bottom 30mm </v>
      </c>
      <c r="G45" t="str">
        <f t="shared" si="3"/>
        <v xml:space="preserve">Stem Bolts: 55mm -----  Aerobar Bolts: Top 25mm; Bottom 30mm </v>
      </c>
    </row>
    <row r="46" spans="2:7" x14ac:dyDescent="0.25">
      <c r="B46" t="str">
        <f>TEXT($B$3,0) &amp;" ----- "&amp;'Data - IA'!B48</f>
        <v>Frame: 58 ----- Stem: Integrated w/30 ----- Aerobar: + 30</v>
      </c>
      <c r="C46">
        <f>$D$4+'Data - IA'!D48</f>
        <v>702</v>
      </c>
      <c r="D46">
        <f t="shared" si="0"/>
        <v>700</v>
      </c>
      <c r="E46" t="str">
        <f>'Data - IA'!F48&amp;" "</f>
        <v xml:space="preserve">Stem Bolts: 55mm ----- </v>
      </c>
      <c r="F46" t="str">
        <f>'Data - IA'!I48</f>
        <v xml:space="preserve">Aerobar Bolts: Top 25mm; Bottom 30mm </v>
      </c>
      <c r="G46" t="str">
        <f t="shared" si="3"/>
        <v xml:space="preserve">Stem Bolts: 55mm -----  Aerobar Bolts: Top 25mm; Bottom 30mm </v>
      </c>
    </row>
    <row r="47" spans="2:7" x14ac:dyDescent="0.25">
      <c r="B47" t="str">
        <f>TEXT($B$3,0) &amp;" ----- "&amp;'Data - IA'!B49</f>
        <v>Frame: 58 ----- Stem: Integrated w/30 ----- Aerobar: + 20 + bridge + 5</v>
      </c>
      <c r="C47">
        <f>$D$4+'Data - IA'!D49</f>
        <v>702</v>
      </c>
      <c r="D47">
        <f t="shared" si="0"/>
        <v>700</v>
      </c>
      <c r="E47" t="str">
        <f>'Data - IA'!F49&amp;" "</f>
        <v xml:space="preserve">Stem Bolts: 55mm ----- </v>
      </c>
      <c r="F47" t="str">
        <f>'Data - IA'!I49</f>
        <v xml:space="preserve">Aerobar Bolts: Top 30mm; Bottom 30mm </v>
      </c>
      <c r="G47" t="str">
        <f t="shared" si="3"/>
        <v xml:space="preserve">Stem Bolts: 55mm -----  Aerobar Bolts: Top 30mm; Bottom 30mm </v>
      </c>
    </row>
    <row r="48" spans="2:7" x14ac:dyDescent="0.25">
      <c r="B48" t="str">
        <f>TEXT($B$3,0) &amp;" ----- "&amp;'Data - IA'!B50</f>
        <v>Frame: 58 ----- Stem: Integrated w/30 ----- Aerobar: + 30 + bridge</v>
      </c>
      <c r="C48">
        <f>$D$4+'Data - IA'!D50</f>
        <v>707</v>
      </c>
      <c r="D48">
        <f t="shared" si="0"/>
        <v>705</v>
      </c>
      <c r="E48" t="str">
        <f>'Data - IA'!F50&amp;" "</f>
        <v xml:space="preserve">Stem Bolts: 55mm ----- </v>
      </c>
      <c r="F48" t="str">
        <f>'Data - IA'!I50</f>
        <v xml:space="preserve">Aerobar Bolts: Top 30mm; Bottom 30mm </v>
      </c>
      <c r="G48" t="str">
        <f>E48&amp;" "&amp;F48</f>
        <v xml:space="preserve">Stem Bolts: 55mm -----  Aerobar Bolts: Top 30mm; Bottom 30mm </v>
      </c>
    </row>
    <row r="49" spans="2:7" x14ac:dyDescent="0.25">
      <c r="B49" t="str">
        <f>TEXT($B$3,0) &amp;" ----- "&amp;'Data - IA'!B51</f>
        <v>Frame: 58 ----- Stem: Integrated w/30 ----- Aerobar: + 30 + bridge + 5</v>
      </c>
      <c r="C49">
        <f>$D$4+'Data - IA'!D51</f>
        <v>712</v>
      </c>
      <c r="D49">
        <f t="shared" si="0"/>
        <v>710</v>
      </c>
      <c r="E49" t="str">
        <f>'Data - IA'!F51&amp;" "</f>
        <v xml:space="preserve">Stem Bolts: 55mm ----- </v>
      </c>
      <c r="F49" t="str">
        <f>'Data - IA'!I51</f>
        <v xml:space="preserve">Aerobar Bolts: Top 35mm; Bottom 30mm </v>
      </c>
      <c r="G49" t="str">
        <f t="shared" ref="G49:G58" si="4">E49&amp;" "&amp;F49</f>
        <v xml:space="preserve">Stem Bolts: 55mm -----  Aerobar Bolts: Top 35mm; Bottom 30mm </v>
      </c>
    </row>
    <row r="50" spans="2:7" x14ac:dyDescent="0.25">
      <c r="B50" t="str">
        <f>TEXT($B$3,0) &amp;" ----- "&amp;'Data - IA'!B52</f>
        <v>Frame: 58 ----- Stem: Integrated w/30 ----- Aerobar: + 40 + bridge</v>
      </c>
      <c r="C50">
        <f>$D$4+'Data - IA'!D52</f>
        <v>717</v>
      </c>
      <c r="D50">
        <f t="shared" si="0"/>
        <v>715</v>
      </c>
      <c r="E50" t="str">
        <f>'Data - IA'!F52&amp;" "</f>
        <v xml:space="preserve">Stem Bolts: 55mm ----- </v>
      </c>
      <c r="F50" t="str">
        <f>'Data - IA'!I52</f>
        <v xml:space="preserve">Aerobar Bolts: Top 35mm; Bottom 30mm </v>
      </c>
      <c r="G50" t="str">
        <f t="shared" si="4"/>
        <v xml:space="preserve">Stem Bolts: 55mm -----  Aerobar Bolts: Top 35mm; Bottom 30mm </v>
      </c>
    </row>
    <row r="51" spans="2:7" x14ac:dyDescent="0.25">
      <c r="B51" t="str">
        <f>TEXT($B$3,0) &amp;" ----- "&amp;'Data - IA'!B53</f>
        <v>Frame: 58 ----- Stem: Integrated w/30 ----- Aerobar: + 40 + bridge + 5</v>
      </c>
      <c r="C51">
        <f>$D$4+'Data - IA'!D53</f>
        <v>722</v>
      </c>
      <c r="D51">
        <f t="shared" si="0"/>
        <v>720</v>
      </c>
      <c r="E51" t="str">
        <f>'Data - IA'!F53&amp;" "</f>
        <v xml:space="preserve">Stem Bolts: 55mm ----- </v>
      </c>
      <c r="F51" t="str">
        <f>'Data - IA'!I53</f>
        <v xml:space="preserve">Aerobar Bolts: Top 35mm; Bottom 30mm </v>
      </c>
      <c r="G51" t="str">
        <f t="shared" si="4"/>
        <v xml:space="preserve">Stem Bolts: 55mm -----  Aerobar Bolts: Top 35mm; Bottom 30mm </v>
      </c>
    </row>
    <row r="52" spans="2:7" x14ac:dyDescent="0.25">
      <c r="B52" t="str">
        <f>TEXT($B$3,0) &amp;" ----- "&amp;'Data - IA'!B54</f>
        <v>Frame: 58 ----- Stem: Integrated w/30 ----- Aerobar: + 40 + bridge + 10</v>
      </c>
      <c r="C52">
        <f>$D$4+'Data - IA'!D54</f>
        <v>727</v>
      </c>
      <c r="D52">
        <f t="shared" si="0"/>
        <v>725</v>
      </c>
      <c r="E52" t="str">
        <f>'Data - IA'!F54&amp;" "</f>
        <v xml:space="preserve">Stem Bolts: 55mm ----- </v>
      </c>
      <c r="F52" t="str">
        <f>'Data - IA'!I54</f>
        <v xml:space="preserve">Aerobar Bolts: Top 40mm; Bottom 30mm </v>
      </c>
      <c r="G52" t="str">
        <f t="shared" si="4"/>
        <v xml:space="preserve">Stem Bolts: 55mm -----  Aerobar Bolts: Top 40mm; Bottom 30mm </v>
      </c>
    </row>
    <row r="53" spans="2:7" x14ac:dyDescent="0.25">
      <c r="B53" t="str">
        <f>TEXT($B$3,0) &amp;" ----- "&amp;'Data - IA'!B55</f>
        <v>Frame: 58 ----- Stem: Integrated w/30 ----- Aerobar: + 40 + bridge + 10 + 5</v>
      </c>
      <c r="C53">
        <f>$D$4+'Data - IA'!D55</f>
        <v>732</v>
      </c>
      <c r="D53">
        <f t="shared" si="0"/>
        <v>730</v>
      </c>
      <c r="E53" t="str">
        <f>'Data - IA'!F55&amp;" "</f>
        <v xml:space="preserve">Stem Bolts: 55mm ----- </v>
      </c>
      <c r="F53" t="str">
        <f>'Data - IA'!I55</f>
        <v xml:space="preserve">Aerobar Bolts: Top 45mm; Bottom 30mm </v>
      </c>
      <c r="G53" t="str">
        <f t="shared" si="4"/>
        <v xml:space="preserve">Stem Bolts: 55mm -----  Aerobar Bolts: Top 45mm; Bottom 30mm </v>
      </c>
    </row>
    <row r="54" spans="2:7" x14ac:dyDescent="0.25">
      <c r="B54" t="str">
        <f>TEXT($B$3,0) &amp;" ----- "&amp;'Data - IA'!B56</f>
        <v xml:space="preserve">Frame: 58 ----- Stem: 31.8 ----- Carbon Aerobar: </v>
      </c>
      <c r="E54" t="str">
        <f>'Data - IA'!F56&amp;" "</f>
        <v xml:space="preserve">Stem Bolts: N/A ----- </v>
      </c>
      <c r="F54" t="str">
        <f>'Data - IA'!I56</f>
        <v xml:space="preserve">Aerobar Bolts: Top N/A; Bottom N/A </v>
      </c>
      <c r="G54" t="str">
        <f t="shared" si="4"/>
        <v xml:space="preserve">Stem Bolts: N/A -----  Aerobar Bolts: Top N/A; Bottom N/A </v>
      </c>
    </row>
    <row r="55" spans="2:7" x14ac:dyDescent="0.25">
      <c r="B55" t="str">
        <f>TEXT($B$3,0) &amp;" ----- "&amp;'Data - IA'!B57</f>
        <v>Frame: 58 ----- Stem: 31.8 ----- Carbon Aerobar: + 5</v>
      </c>
      <c r="C55">
        <f>$D$4+'Data - IA'!D57</f>
        <v>635</v>
      </c>
      <c r="D55">
        <f>ROUND(C55/5,0)*5</f>
        <v>635</v>
      </c>
      <c r="E55" t="str">
        <f>'Data - IA'!F57&amp;" "</f>
        <v xml:space="preserve">Stem Bolts: N/A ----- </v>
      </c>
      <c r="F55" t="str">
        <f>'Data - IA'!I57</f>
        <v xml:space="preserve">Aerobar Bolts: Top 45mm; Bottom N/A </v>
      </c>
      <c r="G55" t="str">
        <f t="shared" si="4"/>
        <v xml:space="preserve">Stem Bolts: N/A -----  Aerobar Bolts: Top 45mm; Bottom N/A </v>
      </c>
    </row>
    <row r="56" spans="2:7" x14ac:dyDescent="0.25">
      <c r="B56" t="str">
        <f>TEXT($B$3,0) &amp;" ----- "&amp;'Data - IA'!B58</f>
        <v>Frame: 58 ----- Stem: 31.8 ----- Carbon Aerobar: + 10</v>
      </c>
      <c r="C56">
        <f>$D$4+'Data - IA'!D58</f>
        <v>640</v>
      </c>
      <c r="D56">
        <f t="shared" ref="D56:D83" si="5">ROUND(C56/5,0)*5</f>
        <v>640</v>
      </c>
      <c r="E56" t="str">
        <f>'Data - IA'!F58&amp;" "</f>
        <v xml:space="preserve">Stem Bolts: N/A ----- </v>
      </c>
      <c r="F56" t="str">
        <f>'Data - IA'!I58</f>
        <v xml:space="preserve">Aerobar Bolts: Top 50mm; Bottom N/A </v>
      </c>
      <c r="G56" t="str">
        <f t="shared" si="4"/>
        <v xml:space="preserve">Stem Bolts: N/A -----  Aerobar Bolts: Top 50mm; Bottom N/A </v>
      </c>
    </row>
    <row r="57" spans="2:7" x14ac:dyDescent="0.25">
      <c r="B57" t="str">
        <f>TEXT($B$3,0) &amp;" ----- "&amp;'Data - IA'!B59</f>
        <v>Frame: 58 ----- Stem: 31.8 ----- Carbon Aerobar: + 5 + 10</v>
      </c>
      <c r="C57">
        <f>$D$4+'Data - IA'!D59</f>
        <v>645</v>
      </c>
      <c r="D57">
        <f t="shared" si="5"/>
        <v>645</v>
      </c>
      <c r="E57" t="str">
        <f>'Data - IA'!F59&amp;" "</f>
        <v xml:space="preserve">Stem Bolts: N/A ----- </v>
      </c>
      <c r="F57" t="str">
        <f>'Data - IA'!I59</f>
        <v xml:space="preserve">Aerobar Bolts: Top 55mm; Bottom N/A </v>
      </c>
      <c r="G57" t="str">
        <f t="shared" si="4"/>
        <v xml:space="preserve">Stem Bolts: N/A -----  Aerobar Bolts: Top 55mm; Bottom N/A </v>
      </c>
    </row>
    <row r="58" spans="2:7" x14ac:dyDescent="0.25">
      <c r="B58" t="str">
        <f>TEXT($B$3,0) &amp;" ----- "&amp;'Data - IA'!B60</f>
        <v>Frame: 58 ----- Stem: 31.8 ----- Carbon Aerobar: + 20</v>
      </c>
      <c r="C58">
        <f>$D$4+'Data - IA'!D60</f>
        <v>650</v>
      </c>
      <c r="D58">
        <f t="shared" si="5"/>
        <v>650</v>
      </c>
      <c r="E58" t="str">
        <f>'Data - IA'!F60&amp;" "</f>
        <v xml:space="preserve">Stem Bolts: N/A ----- </v>
      </c>
      <c r="F58" t="str">
        <f>'Data - IA'!I60</f>
        <v xml:space="preserve">Aerobar Bolts: Top 20mm; Bottom 30mm </v>
      </c>
      <c r="G58" t="str">
        <f t="shared" si="4"/>
        <v xml:space="preserve">Stem Bolts: N/A -----  Aerobar Bolts: Top 20mm; Bottom 30mm </v>
      </c>
    </row>
    <row r="59" spans="2:7" x14ac:dyDescent="0.25">
      <c r="B59" t="str">
        <f>TEXT($B$3,0) &amp;" ----- "&amp;'Data - IA'!B61</f>
        <v>Frame: 58 ----- Stem: 31.8 ----- Carbon Aerobar: + 20 + 5</v>
      </c>
      <c r="C59">
        <f>$D$4+'Data - IA'!D61</f>
        <v>655</v>
      </c>
      <c r="D59">
        <f t="shared" si="5"/>
        <v>655</v>
      </c>
      <c r="E59" t="str">
        <f>'Data - IA'!F61&amp;" "</f>
        <v xml:space="preserve">Stem Bolts: N/A ----- </v>
      </c>
      <c r="F59" t="str">
        <f>'Data - IA'!I61</f>
        <v xml:space="preserve">Aerobar Bolts: Top 25mm; Bottom 30mm </v>
      </c>
      <c r="G59" t="str">
        <f>E59&amp;" "&amp;F59</f>
        <v xml:space="preserve">Stem Bolts: N/A -----  Aerobar Bolts: Top 25mm; Bottom 30mm </v>
      </c>
    </row>
    <row r="60" spans="2:7" x14ac:dyDescent="0.25">
      <c r="B60" t="str">
        <f>TEXT($B$3,0) &amp;" ----- "&amp;'Data - IA'!B62</f>
        <v>Frame: 58 ----- Stem: 31.8 ----- Carbon Aerobar: + 20 + bridge</v>
      </c>
      <c r="C60">
        <f>$D$4+'Data - IA'!D62</f>
        <v>655</v>
      </c>
      <c r="D60">
        <f t="shared" si="5"/>
        <v>655</v>
      </c>
      <c r="E60" t="str">
        <f>'Data - IA'!F62&amp;" "</f>
        <v xml:space="preserve">Stem Bolts: N/A ----- </v>
      </c>
      <c r="F60" t="str">
        <f>'Data - IA'!I62</f>
        <v xml:space="preserve">Aerobar Bolts: Top 25mm; Bottom 30mm </v>
      </c>
      <c r="G60" t="str">
        <f t="shared" ref="G60:G83" si="6">E60&amp;" "&amp;F60</f>
        <v xml:space="preserve">Stem Bolts: N/A -----  Aerobar Bolts: Top 25mm; Bottom 30mm </v>
      </c>
    </row>
    <row r="61" spans="2:7" x14ac:dyDescent="0.25">
      <c r="B61" t="str">
        <f>TEXT($B$3,0) &amp;" ----- "&amp;'Data - IA'!B63</f>
        <v>Frame: 58 ----- Stem: 31.8 ----- Carbon Aerobar: + 30</v>
      </c>
      <c r="C61">
        <f>$D$4+'Data - IA'!D63</f>
        <v>660</v>
      </c>
      <c r="D61">
        <f t="shared" si="5"/>
        <v>660</v>
      </c>
      <c r="E61" t="str">
        <f>'Data - IA'!F63&amp;" "</f>
        <v xml:space="preserve">Stem Bolts: N/A ----- </v>
      </c>
      <c r="F61" t="str">
        <f>'Data - IA'!I63</f>
        <v xml:space="preserve">Aerobar Bolts: Top 25mm; Bottom 30mm </v>
      </c>
      <c r="G61" t="str">
        <f t="shared" si="6"/>
        <v xml:space="preserve">Stem Bolts: N/A -----  Aerobar Bolts: Top 25mm; Bottom 30mm </v>
      </c>
    </row>
    <row r="62" spans="2:7" x14ac:dyDescent="0.25">
      <c r="B62" t="str">
        <f>TEXT($B$3,0) &amp;" ----- "&amp;'Data - IA'!B64</f>
        <v>Frame: 58 ----- Stem: 31.8 ----- Carbon Aerobar: + 20 + bridge + 5</v>
      </c>
      <c r="C62">
        <f>$D$4+'Data - IA'!D64</f>
        <v>660</v>
      </c>
      <c r="D62">
        <f t="shared" si="5"/>
        <v>660</v>
      </c>
      <c r="E62" t="str">
        <f>'Data - IA'!F64&amp;" "</f>
        <v xml:space="preserve">Stem Bolts: N/A ----- </v>
      </c>
      <c r="F62" t="str">
        <f>'Data - IA'!I64</f>
        <v xml:space="preserve">Aerobar Bolts: Top 30mm; Bottom 30mm </v>
      </c>
      <c r="G62" t="str">
        <f t="shared" si="6"/>
        <v xml:space="preserve">Stem Bolts: N/A -----  Aerobar Bolts: Top 30mm; Bottom 30mm </v>
      </c>
    </row>
    <row r="63" spans="2:7" x14ac:dyDescent="0.25">
      <c r="B63" t="str">
        <f>TEXT($B$3,0) &amp;" ----- "&amp;'Data - IA'!B65</f>
        <v>Frame: 58 ----- Stem: 31.8 ----- Carbon Aerobar: + 30 + bridge</v>
      </c>
      <c r="C63">
        <f>$D$4+'Data - IA'!D65</f>
        <v>665</v>
      </c>
      <c r="D63">
        <f t="shared" si="5"/>
        <v>665</v>
      </c>
      <c r="E63" t="str">
        <f>'Data - IA'!F65&amp;" "</f>
        <v xml:space="preserve">Stem Bolts: N/A ----- </v>
      </c>
      <c r="F63" t="str">
        <f>'Data - IA'!I65</f>
        <v xml:space="preserve">Aerobar Bolts: Top 30mm; Bottom 30mm </v>
      </c>
      <c r="G63" t="str">
        <f t="shared" si="6"/>
        <v xml:space="preserve">Stem Bolts: N/A -----  Aerobar Bolts: Top 30mm; Bottom 30mm </v>
      </c>
    </row>
    <row r="64" spans="2:7" x14ac:dyDescent="0.25">
      <c r="B64" t="str">
        <f>TEXT($B$3,0) &amp;" ----- "&amp;'Data - IA'!B66</f>
        <v>Frame: 58 ----- Stem: 31.8 ----- Carbon Aerobar: + 30 + bridge + 5</v>
      </c>
      <c r="C64">
        <f>$D$4+'Data - IA'!D66</f>
        <v>670</v>
      </c>
      <c r="D64">
        <f t="shared" si="5"/>
        <v>670</v>
      </c>
      <c r="E64" t="str">
        <f>'Data - IA'!F66&amp;" "</f>
        <v xml:space="preserve">Stem Bolts: N/A ----- </v>
      </c>
      <c r="F64" t="str">
        <f>'Data - IA'!I66</f>
        <v xml:space="preserve">Aerobar Bolts: Top 35mm; Bottom 30mm </v>
      </c>
      <c r="G64" t="str">
        <f t="shared" si="6"/>
        <v xml:space="preserve">Stem Bolts: N/A -----  Aerobar Bolts: Top 35mm; Bottom 30mm </v>
      </c>
    </row>
    <row r="65" spans="2:7" x14ac:dyDescent="0.25">
      <c r="B65" t="str">
        <f>TEXT($B$3,0) &amp;" ----- "&amp;'Data - IA'!B67</f>
        <v>Frame: 58 ----- Stem: 31.8 ----- Carbon Aerobar: + 40 + bridge</v>
      </c>
      <c r="C65">
        <f>$D$4+'Data - IA'!D67</f>
        <v>675</v>
      </c>
      <c r="D65">
        <f t="shared" si="5"/>
        <v>675</v>
      </c>
      <c r="E65" t="str">
        <f>'Data - IA'!F67&amp;" "</f>
        <v xml:space="preserve">Stem Bolts: N/A ----- </v>
      </c>
      <c r="F65" t="str">
        <f>'Data - IA'!I67</f>
        <v xml:space="preserve">Aerobar Bolts: Top 35mm; Bottom 30mm </v>
      </c>
      <c r="G65" t="str">
        <f t="shared" si="6"/>
        <v xml:space="preserve">Stem Bolts: N/A -----  Aerobar Bolts: Top 35mm; Bottom 30mm </v>
      </c>
    </row>
    <row r="66" spans="2:7" x14ac:dyDescent="0.25">
      <c r="B66" t="str">
        <f>TEXT($B$3,0) &amp;" ----- "&amp;'Data - IA'!B68</f>
        <v>Frame: 58 ----- Stem: 31.8 ----- Carbon Aerobar: + 40 + bridge + 5</v>
      </c>
      <c r="C66">
        <f>$D$4+'Data - IA'!D68</f>
        <v>680</v>
      </c>
      <c r="D66">
        <f t="shared" si="5"/>
        <v>680</v>
      </c>
      <c r="E66" t="str">
        <f>'Data - IA'!F68&amp;" "</f>
        <v xml:space="preserve">Stem Bolts: N/A ----- </v>
      </c>
      <c r="F66" t="str">
        <f>'Data - IA'!I68</f>
        <v xml:space="preserve">Aerobar Bolts: Top 35mm; Bottom 30mm </v>
      </c>
      <c r="G66" t="str">
        <f t="shared" si="6"/>
        <v xml:space="preserve">Stem Bolts: N/A -----  Aerobar Bolts: Top 35mm; Bottom 30mm </v>
      </c>
    </row>
    <row r="67" spans="2:7" x14ac:dyDescent="0.25">
      <c r="B67" t="str">
        <f>TEXT($B$3,0) &amp;" ----- "&amp;'Data - IA'!B69</f>
        <v>Frame: 58 ----- Stem: 31.8 ----- Carbon Aerobar: + 40 + bridge + 10</v>
      </c>
      <c r="C67">
        <f>$D$4+'Data - IA'!D69</f>
        <v>685</v>
      </c>
      <c r="D67">
        <f t="shared" si="5"/>
        <v>685</v>
      </c>
      <c r="E67" t="str">
        <f>'Data - IA'!F69&amp;" "</f>
        <v xml:space="preserve">Stem Bolts: N/A ----- </v>
      </c>
      <c r="F67" t="str">
        <f>'Data - IA'!I69</f>
        <v xml:space="preserve">Aerobar Bolts: Top 40mm; Bottom 30mm </v>
      </c>
      <c r="G67" t="str">
        <f t="shared" si="6"/>
        <v xml:space="preserve">Stem Bolts: N/A -----  Aerobar Bolts: Top 40mm; Bottom 30mm </v>
      </c>
    </row>
    <row r="68" spans="2:7" x14ac:dyDescent="0.25">
      <c r="B68" t="str">
        <f>TEXT($B$3,0) &amp;" ----- "&amp;'Data - IA'!B70</f>
        <v>Frame: 58 ----- Stem: 31.8 ----- Carbon Aerobar: + 40 + bridge + 10 + 5</v>
      </c>
      <c r="C68">
        <f>$D$4+'Data - IA'!D70</f>
        <v>690</v>
      </c>
      <c r="D68">
        <f t="shared" si="5"/>
        <v>690</v>
      </c>
      <c r="E68" t="str">
        <f>'Data - IA'!F70&amp;" "</f>
        <v xml:space="preserve">Stem Bolts: N/A ----- </v>
      </c>
      <c r="F68" t="str">
        <f>'Data - IA'!I70</f>
        <v xml:space="preserve">Aerobar Bolts: Top 45mm; Bottom 30mm </v>
      </c>
      <c r="G68" t="str">
        <f t="shared" si="6"/>
        <v xml:space="preserve">Stem Bolts: N/A -----  Aerobar Bolts: Top 45mm; Bottom 30mm </v>
      </c>
    </row>
    <row r="69" spans="2:7" x14ac:dyDescent="0.25">
      <c r="B69" t="str">
        <f>TEXT($B$3,0) &amp;" ----- "&amp;'Data - IA'!B71</f>
        <v xml:space="preserve">Frame: 58 ----- Stem: 31.8 ----- Alloy Aerobar: </v>
      </c>
      <c r="C69">
        <f>$D$4+'Data - IA'!D71</f>
        <v>645</v>
      </c>
      <c r="D69">
        <f t="shared" si="5"/>
        <v>645</v>
      </c>
      <c r="E69" t="str">
        <f>'Data - IA'!F71&amp;" "</f>
        <v xml:space="preserve">Stem Bolts: N/A ----- </v>
      </c>
      <c r="F69" t="str">
        <f>'Data - IA'!I71</f>
        <v xml:space="preserve">Aerobar Bolts: Top 20mm; Bottom N/A </v>
      </c>
      <c r="G69" t="str">
        <f t="shared" si="6"/>
        <v xml:space="preserve">Stem Bolts: N/A -----  Aerobar Bolts: Top 20mm; Bottom N/A </v>
      </c>
    </row>
    <row r="70" spans="2:7" x14ac:dyDescent="0.25">
      <c r="B70" t="str">
        <f>TEXT($B$3,0) &amp;" ----- "&amp;'Data - IA'!B72</f>
        <v>Frame: 58 ----- Stem: 31.8 ----- Alloy Aerobar: + 5</v>
      </c>
      <c r="C70">
        <f>$D$4+'Data - IA'!D72</f>
        <v>650</v>
      </c>
      <c r="D70">
        <f t="shared" si="5"/>
        <v>650</v>
      </c>
      <c r="E70" t="str">
        <f>'Data - IA'!F72&amp;" "</f>
        <v xml:space="preserve">Stem Bolts: N/A ----- </v>
      </c>
      <c r="F70" t="str">
        <f>'Data - IA'!I72</f>
        <v xml:space="preserve">Aerobar Bolts: Top 25mm; Bottom N/A </v>
      </c>
      <c r="G70" t="str">
        <f t="shared" si="6"/>
        <v xml:space="preserve">Stem Bolts: N/A -----  Aerobar Bolts: Top 25mm; Bottom N/A </v>
      </c>
    </row>
    <row r="71" spans="2:7" x14ac:dyDescent="0.25">
      <c r="B71" t="str">
        <f>TEXT($B$3,0) &amp;" ----- "&amp;'Data - IA'!B73</f>
        <v>Frame: 58 ----- Stem: 31.8 ----- Alloy Aerobar: + 10</v>
      </c>
      <c r="C71">
        <f>$D$4+'Data - IA'!D73</f>
        <v>655</v>
      </c>
      <c r="D71">
        <f t="shared" si="5"/>
        <v>655</v>
      </c>
      <c r="E71" t="str">
        <f>'Data - IA'!F73&amp;" "</f>
        <v xml:space="preserve">Stem Bolts: N/A ----- </v>
      </c>
      <c r="F71" t="str">
        <f>'Data - IA'!I73</f>
        <v xml:space="preserve">Aerobar Bolts: Top 30mm; Bottom N/A </v>
      </c>
      <c r="G71" t="str">
        <f t="shared" si="6"/>
        <v xml:space="preserve">Stem Bolts: N/A -----  Aerobar Bolts: Top 30mm; Bottom N/A </v>
      </c>
    </row>
    <row r="72" spans="2:7" x14ac:dyDescent="0.25">
      <c r="B72" t="str">
        <f>TEXT($B$3,0) &amp;" ----- "&amp;'Data - IA'!B74</f>
        <v>Frame: 58 ----- Stem: 31.8 ----- Alloy Aerobar: + 5 + 10</v>
      </c>
      <c r="C72">
        <f>$D$4+'Data - IA'!D74</f>
        <v>660</v>
      </c>
      <c r="D72">
        <f t="shared" si="5"/>
        <v>660</v>
      </c>
      <c r="E72" t="str">
        <f>'Data - IA'!F74&amp;" "</f>
        <v xml:space="preserve">Stem Bolts: N/A ----- </v>
      </c>
      <c r="F72" t="str">
        <f>'Data - IA'!I74</f>
        <v xml:space="preserve">Aerobar Bolts: Top 35mm; Bottom N/A </v>
      </c>
      <c r="G72" t="str">
        <f t="shared" si="6"/>
        <v xml:space="preserve">Stem Bolts: N/A -----  Aerobar Bolts: Top 35mm; Bottom N/A </v>
      </c>
    </row>
    <row r="73" spans="2:7" x14ac:dyDescent="0.25">
      <c r="B73" t="str">
        <f>TEXT($B$3,0) &amp;" ----- "&amp;'Data - IA'!B75</f>
        <v>Frame: 58 ----- Stem: 31.8 ----- Alloy Aerobar: + 20</v>
      </c>
      <c r="C73">
        <f>$D$4+'Data - IA'!D75</f>
        <v>665</v>
      </c>
      <c r="D73">
        <f t="shared" si="5"/>
        <v>665</v>
      </c>
      <c r="E73" t="str">
        <f>'Data - IA'!F75&amp;" "</f>
        <v xml:space="preserve">Stem Bolts: N/A ----- </v>
      </c>
      <c r="F73" t="str">
        <f>'Data - IA'!I75</f>
        <v xml:space="preserve">Aerobar Bolts: Top 20mm; Bottom 15mm </v>
      </c>
      <c r="G73" t="str">
        <f t="shared" si="6"/>
        <v xml:space="preserve">Stem Bolts: N/A -----  Aerobar Bolts: Top 20mm; Bottom 15mm </v>
      </c>
    </row>
    <row r="74" spans="2:7" x14ac:dyDescent="0.25">
      <c r="B74" t="str">
        <f>TEXT($B$3,0) &amp;" ----- "&amp;'Data - IA'!B76</f>
        <v xml:space="preserve">Frame: 58 ----- Stem: 31.8 ----- Alloy Aerobar: + 20 + 5 </v>
      </c>
      <c r="C74">
        <f>$D$4+'Data - IA'!D76</f>
        <v>670</v>
      </c>
      <c r="D74">
        <f t="shared" si="5"/>
        <v>670</v>
      </c>
      <c r="E74" t="str">
        <f>'Data - IA'!F76&amp;" "</f>
        <v xml:space="preserve">Stem Bolts: N/A ----- </v>
      </c>
      <c r="F74" t="str">
        <f>'Data - IA'!I76</f>
        <v xml:space="preserve">Aerobar Bolts: Top 25mm; Bottom 15mm </v>
      </c>
      <c r="G74" t="str">
        <f t="shared" si="6"/>
        <v xml:space="preserve">Stem Bolts: N/A -----  Aerobar Bolts: Top 25mm; Bottom 15mm </v>
      </c>
    </row>
    <row r="75" spans="2:7" x14ac:dyDescent="0.25">
      <c r="B75" t="str">
        <f>TEXT($B$3,0) &amp;" ----- "&amp;'Data - IA'!B77</f>
        <v>Frame: 58 ----- Stem: 31.8 ----- Alloy Aerobar: + 20 + bridge</v>
      </c>
      <c r="C75">
        <f>$D$4+'Data - IA'!D77</f>
        <v>670</v>
      </c>
      <c r="D75">
        <f t="shared" si="5"/>
        <v>670</v>
      </c>
      <c r="E75" t="str">
        <f>'Data - IA'!F77&amp;" "</f>
        <v xml:space="preserve">Stem Bolts: N/A ----- </v>
      </c>
      <c r="F75" t="str">
        <f>'Data - IA'!I77</f>
        <v xml:space="preserve">Aerobar Bolts: Top 25mm; Bottom 15mm </v>
      </c>
      <c r="G75" t="str">
        <f t="shared" si="6"/>
        <v xml:space="preserve">Stem Bolts: N/A -----  Aerobar Bolts: Top 25mm; Bottom 15mm </v>
      </c>
    </row>
    <row r="76" spans="2:7" x14ac:dyDescent="0.25">
      <c r="B76" t="str">
        <f>TEXT($B$3,0) &amp;" ----- "&amp;'Data - IA'!B78</f>
        <v>Frame: 58 ----- Stem: 31.8 ----- Alloy Aerobar: + 20 + bridge + 5</v>
      </c>
      <c r="C76">
        <f>$D$4+'Data - IA'!D78</f>
        <v>675</v>
      </c>
      <c r="D76">
        <f t="shared" si="5"/>
        <v>675</v>
      </c>
      <c r="E76" t="str">
        <f>'Data - IA'!F78&amp;" "</f>
        <v xml:space="preserve">Stem Bolts: N/A ----- </v>
      </c>
      <c r="F76" t="str">
        <f>'Data - IA'!I78</f>
        <v xml:space="preserve">Aerobar Bolts: Top 25mm; Bottom 15mm </v>
      </c>
      <c r="G76" t="str">
        <f t="shared" si="6"/>
        <v xml:space="preserve">Stem Bolts: N/A -----  Aerobar Bolts: Top 25mm; Bottom 15mm </v>
      </c>
    </row>
    <row r="77" spans="2:7" x14ac:dyDescent="0.25">
      <c r="B77" t="str">
        <f>TEXT($B$3,0) &amp;" ----- "&amp;'Data - IA'!B79</f>
        <v>Frame: 58 ----- Stem: 31.8 ----- Alloy Aerobar: + 30</v>
      </c>
      <c r="C77">
        <f>$D$4+'Data - IA'!D79</f>
        <v>675</v>
      </c>
      <c r="D77">
        <f t="shared" si="5"/>
        <v>675</v>
      </c>
      <c r="E77" t="str">
        <f>'Data - IA'!F79&amp;" "</f>
        <v xml:space="preserve">Stem Bolts: N/A ----- </v>
      </c>
      <c r="F77" t="str">
        <f>'Data - IA'!I79</f>
        <v xml:space="preserve">Aerobar Bolts: Top 25mm; Bottom 15mm </v>
      </c>
      <c r="G77" t="str">
        <f t="shared" si="6"/>
        <v xml:space="preserve">Stem Bolts: N/A -----  Aerobar Bolts: Top 25mm; Bottom 15mm </v>
      </c>
    </row>
    <row r="78" spans="2:7" x14ac:dyDescent="0.25">
      <c r="B78" t="str">
        <f>TEXT($B$3,0) &amp;" ----- "&amp;'Data - IA'!B80</f>
        <v>Frame: 58 ----- Stem: 31.8 ----- Alloy Aerobar: + 30 + bridge</v>
      </c>
      <c r="C78">
        <f>$D$4+'Data - IA'!D80</f>
        <v>680</v>
      </c>
      <c r="D78">
        <f t="shared" si="5"/>
        <v>680</v>
      </c>
      <c r="E78" t="str">
        <f>'Data - IA'!F80&amp;" "</f>
        <v xml:space="preserve">Stem Bolts: N/A ----- </v>
      </c>
      <c r="F78" t="str">
        <f>'Data - IA'!I80</f>
        <v xml:space="preserve">Aerobar Bolts: Top 30mm; Bottom 15mm </v>
      </c>
      <c r="G78" t="str">
        <f t="shared" si="6"/>
        <v xml:space="preserve">Stem Bolts: N/A -----  Aerobar Bolts: Top 30mm; Bottom 15mm </v>
      </c>
    </row>
    <row r="79" spans="2:7" x14ac:dyDescent="0.25">
      <c r="B79" t="str">
        <f>TEXT($B$3,0) &amp;" ----- "&amp;'Data - IA'!B81</f>
        <v>Frame: 58 ----- Stem: 31.8 ----- Alloy Aerobar: + 30 + bridge + 5</v>
      </c>
      <c r="C79">
        <f>$D$4+'Data - IA'!D81</f>
        <v>685</v>
      </c>
      <c r="D79">
        <f t="shared" si="5"/>
        <v>685</v>
      </c>
      <c r="E79" t="str">
        <f>'Data - IA'!F81&amp;" "</f>
        <v xml:space="preserve">Stem Bolts: N/A ----- </v>
      </c>
      <c r="F79" t="str">
        <f>'Data - IA'!I81</f>
        <v xml:space="preserve">Aerobar Bolts: Top 30mm; Bottom 15mm </v>
      </c>
      <c r="G79" t="str">
        <f t="shared" si="6"/>
        <v xml:space="preserve">Stem Bolts: N/A -----  Aerobar Bolts: Top 30mm; Bottom 15mm </v>
      </c>
    </row>
    <row r="80" spans="2:7" x14ac:dyDescent="0.25">
      <c r="B80" t="str">
        <f>TEXT($B$3,0) &amp;" ----- "&amp;'Data - IA'!B82</f>
        <v>Frame: 58 ----- Stem: 31.8 ----- Alloy Aerobar: + 40 + bridge</v>
      </c>
      <c r="C80">
        <f>$D$4+'Data - IA'!D82</f>
        <v>690</v>
      </c>
      <c r="D80">
        <f t="shared" si="5"/>
        <v>690</v>
      </c>
      <c r="E80" t="str">
        <f>'Data - IA'!F82&amp;" "</f>
        <v xml:space="preserve">Stem Bolts: N/A ----- </v>
      </c>
      <c r="F80" t="str">
        <f>'Data - IA'!I82</f>
        <v xml:space="preserve">Aerobar Bolts: Top 35mm; Bottom 15mm </v>
      </c>
      <c r="G80" t="str">
        <f t="shared" si="6"/>
        <v xml:space="preserve">Stem Bolts: N/A -----  Aerobar Bolts: Top 35mm; Bottom 15mm </v>
      </c>
    </row>
    <row r="81" spans="2:7" x14ac:dyDescent="0.25">
      <c r="B81" t="str">
        <f>TEXT($B$3,0) &amp;" ----- "&amp;'Data - IA'!B83</f>
        <v>Frame: 58 ----- Stem: 31.8 ----- Alloy Aerobar: + 40 + bridge + 5</v>
      </c>
      <c r="C81">
        <f>$D$4+'Data - IA'!D83</f>
        <v>695</v>
      </c>
      <c r="D81">
        <f t="shared" si="5"/>
        <v>695</v>
      </c>
      <c r="E81" t="str">
        <f>'Data - IA'!F83&amp;" "</f>
        <v xml:space="preserve">Stem Bolts: N/A ----- </v>
      </c>
      <c r="F81" t="str">
        <f>'Data - IA'!I83</f>
        <v xml:space="preserve">Aerobar Bolts: Top 35mm; Bottom 15mm </v>
      </c>
      <c r="G81" t="str">
        <f t="shared" si="6"/>
        <v xml:space="preserve">Stem Bolts: N/A -----  Aerobar Bolts: Top 35mm; Bottom 15mm </v>
      </c>
    </row>
    <row r="82" spans="2:7" x14ac:dyDescent="0.25">
      <c r="B82" t="str">
        <f>TEXT($B$3,0) &amp;" ----- "&amp;'Data - IA'!B84</f>
        <v>Frame: 58 ----- Stem: 31.8 ----- Alloy Aerobar: + 40 + bridge + 10</v>
      </c>
      <c r="C82">
        <f>$D$4+'Data - IA'!D84</f>
        <v>700</v>
      </c>
      <c r="D82">
        <f t="shared" si="5"/>
        <v>700</v>
      </c>
      <c r="E82" t="str">
        <f>'Data - IA'!F84&amp;" "</f>
        <v xml:space="preserve">Stem Bolts: N/A ----- </v>
      </c>
      <c r="F82" t="str">
        <f>'Data - IA'!I84</f>
        <v xml:space="preserve">Aerobar Bolts: Top 35mm; Bottom 15mm </v>
      </c>
      <c r="G82" t="str">
        <f t="shared" si="6"/>
        <v xml:space="preserve">Stem Bolts: N/A -----  Aerobar Bolts: Top 35mm; Bottom 15mm </v>
      </c>
    </row>
    <row r="83" spans="2:7" x14ac:dyDescent="0.25">
      <c r="B83" t="str">
        <f>TEXT($B$3,0) &amp;" ----- "&amp;'Data - IA'!B85</f>
        <v>Frame: 58 ----- Stem: 31.8 ----- Alloy Aerobar: + 40 + bridge + 5 + 10</v>
      </c>
      <c r="C83">
        <f>$D$4+'Data - IA'!D85</f>
        <v>705</v>
      </c>
      <c r="D83">
        <f t="shared" si="5"/>
        <v>705</v>
      </c>
      <c r="E83" t="str">
        <f>'Data - IA'!F85&amp;" "</f>
        <v xml:space="preserve">Stem Bolts: N/A ----- </v>
      </c>
      <c r="F83" t="str">
        <f>'Data - IA'!I85</f>
        <v xml:space="preserve">Aerobar Bolts: Top 35mm; Bottom 25mm </v>
      </c>
      <c r="G83" t="str">
        <f t="shared" si="6"/>
        <v xml:space="preserve">Stem Bolts: N/A -----  Aerobar Bolts: Top 35mm; Bottom 25mm 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M83"/>
  <sheetViews>
    <sheetView zoomScale="70" zoomScaleNormal="70" workbookViewId="0">
      <selection activeCell="Q55" sqref="Q55"/>
    </sheetView>
  </sheetViews>
  <sheetFormatPr defaultRowHeight="15" x14ac:dyDescent="0.25"/>
  <cols>
    <col min="2" max="2" width="60.5703125" customWidth="1"/>
    <col min="5" max="6" width="9.140625" hidden="1" customWidth="1"/>
    <col min="10" max="10" width="17.42578125" customWidth="1"/>
  </cols>
  <sheetData>
    <row r="2" spans="2:12" x14ac:dyDescent="0.25">
      <c r="B2" t="s">
        <v>12</v>
      </c>
      <c r="K2" t="s">
        <v>17</v>
      </c>
      <c r="L2" t="s">
        <v>18</v>
      </c>
    </row>
    <row r="3" spans="2:12" x14ac:dyDescent="0.25">
      <c r="B3" t="s">
        <v>98</v>
      </c>
      <c r="C3" t="s">
        <v>2</v>
      </c>
      <c r="D3" t="s">
        <v>1</v>
      </c>
      <c r="J3" t="s">
        <v>15</v>
      </c>
      <c r="K3">
        <v>430</v>
      </c>
      <c r="L3">
        <v>450</v>
      </c>
    </row>
    <row r="4" spans="2:12" x14ac:dyDescent="0.25">
      <c r="B4" t="s">
        <v>10</v>
      </c>
      <c r="C4">
        <f>'Data - IA'!C7</f>
        <v>425</v>
      </c>
      <c r="D4">
        <f>'Data - IA'!D7</f>
        <v>544</v>
      </c>
      <c r="J4" t="s">
        <v>16</v>
      </c>
      <c r="K4">
        <v>540</v>
      </c>
      <c r="L4">
        <v>520</v>
      </c>
    </row>
    <row r="6" spans="2:12" x14ac:dyDescent="0.25">
      <c r="J6" t="s">
        <v>33</v>
      </c>
      <c r="K6">
        <f>C4+'Data - IA'!$C$12</f>
        <v>470</v>
      </c>
    </row>
    <row r="7" spans="2:12" x14ac:dyDescent="0.25">
      <c r="C7" t="s">
        <v>1</v>
      </c>
      <c r="J7" t="s">
        <v>34</v>
      </c>
      <c r="K7">
        <f>C4+'Data - IA'!$C$57</f>
        <v>515</v>
      </c>
    </row>
    <row r="8" spans="2:12" x14ac:dyDescent="0.25">
      <c r="J8" t="s">
        <v>67</v>
      </c>
      <c r="K8">
        <v>513</v>
      </c>
    </row>
    <row r="9" spans="2:12" x14ac:dyDescent="0.25">
      <c r="B9" t="str">
        <f>TEXT($B$3,0)&amp;"----- "&amp;'Data - IA'!B11</f>
        <v>Frame: 56----- Stem: Integrated ----- Aerobar:</v>
      </c>
      <c r="D9">
        <f t="shared" ref="D9:D53" si="0">ROUND(C9/5,0)*5</f>
        <v>0</v>
      </c>
      <c r="E9" t="str">
        <f>'Data - IA'!F11&amp;" "</f>
        <v xml:space="preserve">Stem Bolts: 25mm ----- </v>
      </c>
      <c r="F9" t="str">
        <f>'Data - IA'!I11</f>
        <v xml:space="preserve">Aerobar Bolts: Top N/A; Bottom N/A </v>
      </c>
      <c r="G9" t="str">
        <f>E9&amp;" "&amp;F9</f>
        <v xml:space="preserve">Stem Bolts: 25mm -----  Aerobar Bolts: Top N/A; Bottom N/A </v>
      </c>
    </row>
    <row r="10" spans="2:12" x14ac:dyDescent="0.25">
      <c r="B10" t="str">
        <f>TEXT($B$3,0) &amp;" ----- "&amp;'Data - IA'!B12</f>
        <v>Frame: 56 ----- Stem: Integrated ----- Aerobar:+ 5</v>
      </c>
      <c r="C10">
        <f>$D$4+'Data - IA'!D12</f>
        <v>622</v>
      </c>
      <c r="D10">
        <f t="shared" si="0"/>
        <v>620</v>
      </c>
      <c r="E10" t="str">
        <f>'Data - IA'!F12&amp;" "</f>
        <v xml:space="preserve">Stem Bolts: 25mm ----- </v>
      </c>
      <c r="F10" t="str">
        <f>'Data - IA'!I12</f>
        <v xml:space="preserve">Aerobar Bolts: Top 45mm; Bottom N/A </v>
      </c>
      <c r="G10" t="str">
        <f t="shared" ref="G10:G32" si="1">E10&amp;" "&amp;F10</f>
        <v xml:space="preserve">Stem Bolts: 25mm -----  Aerobar Bolts: Top 45mm; Bottom N/A </v>
      </c>
    </row>
    <row r="11" spans="2:12" x14ac:dyDescent="0.25">
      <c r="B11" t="str">
        <f>TEXT($B$3,0) &amp;" ----- "&amp;'Data - IA'!B13</f>
        <v>Frame: 56 ----- Stem: Integrated ----- Aerobar:+ 10</v>
      </c>
      <c r="C11">
        <f>$D$4+'Data - IA'!D13</f>
        <v>627</v>
      </c>
      <c r="D11">
        <f t="shared" si="0"/>
        <v>625</v>
      </c>
      <c r="E11" t="str">
        <f>'Data - IA'!F13&amp;" "</f>
        <v xml:space="preserve">Stem Bolts: 25mm ----- </v>
      </c>
      <c r="F11" t="str">
        <f>'Data - IA'!I13</f>
        <v xml:space="preserve">Aerobar Bolts: Top 50mm; Bottom N/A </v>
      </c>
      <c r="G11" t="str">
        <f t="shared" si="1"/>
        <v xml:space="preserve">Stem Bolts: 25mm -----  Aerobar Bolts: Top 50mm; Bottom N/A </v>
      </c>
    </row>
    <row r="12" spans="2:12" x14ac:dyDescent="0.25">
      <c r="B12" t="str">
        <f>TEXT($B$3,0) &amp;" ----- "&amp;'Data - IA'!B14</f>
        <v>Frame: 56 ----- Stem: Integrated ----- Aerobar:+ 5 + 10</v>
      </c>
      <c r="C12">
        <f>$D$4+'Data - IA'!D14</f>
        <v>632</v>
      </c>
      <c r="D12">
        <f t="shared" si="0"/>
        <v>630</v>
      </c>
      <c r="E12" t="str">
        <f>'Data - IA'!F14&amp;" "</f>
        <v xml:space="preserve">Stem Bolts: 25mm ----- </v>
      </c>
      <c r="F12" t="str">
        <f>'Data - IA'!I14</f>
        <v xml:space="preserve">Aerobar Bolts: Top 55mm; Bottom N/A </v>
      </c>
      <c r="G12" t="str">
        <f t="shared" si="1"/>
        <v xml:space="preserve">Stem Bolts: 25mm -----  Aerobar Bolts: Top 55mm; Bottom N/A </v>
      </c>
    </row>
    <row r="13" spans="2:12" x14ac:dyDescent="0.25">
      <c r="B13" t="str">
        <f>TEXT($B$3,0) &amp;" ----- "&amp;'Data - IA'!B15</f>
        <v>Frame: 56 ----- Stem: Integrated ----- Aerobar:+ 20</v>
      </c>
      <c r="C13">
        <f>$D$4+'Data - IA'!D15</f>
        <v>637</v>
      </c>
      <c r="D13">
        <f t="shared" si="0"/>
        <v>635</v>
      </c>
      <c r="E13" t="str">
        <f>'Data - IA'!F15&amp;" "</f>
        <v xml:space="preserve">Stem Bolts: 25mm ----- </v>
      </c>
      <c r="F13" t="str">
        <f>'Data - IA'!I15</f>
        <v xml:space="preserve">Aerobar Bolts: Top 20mm; Bottom 30mm </v>
      </c>
      <c r="G13" t="str">
        <f t="shared" si="1"/>
        <v xml:space="preserve">Stem Bolts: 25mm -----  Aerobar Bolts: Top 20mm; Bottom 30mm </v>
      </c>
    </row>
    <row r="14" spans="2:12" x14ac:dyDescent="0.25">
      <c r="B14" t="str">
        <f>TEXT($B$3,0) &amp;" ----- "&amp;'Data - IA'!B16</f>
        <v>Frame: 56 ----- Stem: Integrated ----- Aerobar:+ 20 + 5</v>
      </c>
      <c r="C14">
        <f>$D$4+'Data - IA'!D16</f>
        <v>642</v>
      </c>
      <c r="D14">
        <f t="shared" si="0"/>
        <v>640</v>
      </c>
      <c r="E14" t="str">
        <f>'Data - IA'!F16&amp;" "</f>
        <v xml:space="preserve">Stem Bolts: 25mm ----- </v>
      </c>
      <c r="F14" t="str">
        <f>'Data - IA'!I16</f>
        <v xml:space="preserve">Aerobar Bolts: Top 25mm; Bottom 30mm </v>
      </c>
      <c r="G14" t="str">
        <f t="shared" si="1"/>
        <v xml:space="preserve">Stem Bolts: 25mm -----  Aerobar Bolts: Top 25mm; Bottom 30mm </v>
      </c>
    </row>
    <row r="15" spans="2:12" x14ac:dyDescent="0.25">
      <c r="B15" t="str">
        <f>TEXT($B$3,0) &amp;" ----- "&amp;'Data - IA'!B17</f>
        <v>Frame: 56 ----- Stem: Integrated ----- Aerobar:+ 20 + bridge</v>
      </c>
      <c r="C15">
        <f>$D$4+'Data - IA'!D17</f>
        <v>642</v>
      </c>
      <c r="D15">
        <f t="shared" si="0"/>
        <v>640</v>
      </c>
      <c r="E15" t="str">
        <f>'Data - IA'!F17&amp;" "</f>
        <v xml:space="preserve">Stem Bolts: 25mm ----- </v>
      </c>
      <c r="F15" t="str">
        <f>'Data - IA'!I17</f>
        <v xml:space="preserve">Aerobar Bolts: Top 25mm; Bottom 30mm </v>
      </c>
      <c r="G15" t="str">
        <f t="shared" si="1"/>
        <v xml:space="preserve">Stem Bolts: 25mm -----  Aerobar Bolts: Top 25mm; Bottom 30mm </v>
      </c>
    </row>
    <row r="16" spans="2:12" x14ac:dyDescent="0.25">
      <c r="B16" t="str">
        <f>TEXT($B$3,0) &amp;" ----- "&amp;'Data - IA'!B18</f>
        <v>Frame: 56 ----- Stem: Integrated ----- Aerobar:+ 30</v>
      </c>
      <c r="C16">
        <f>$D$4+'Data - IA'!D18</f>
        <v>647</v>
      </c>
      <c r="D16">
        <f t="shared" si="0"/>
        <v>645</v>
      </c>
      <c r="E16" t="str">
        <f>'Data - IA'!F18&amp;" "</f>
        <v xml:space="preserve">Stem Bolts: 25mm ----- </v>
      </c>
      <c r="F16" t="str">
        <f>'Data - IA'!I18</f>
        <v xml:space="preserve">Aerobar Bolts: Top 25mm; Bottom 30mm </v>
      </c>
      <c r="G16" t="str">
        <f t="shared" si="1"/>
        <v xml:space="preserve">Stem Bolts: 25mm -----  Aerobar Bolts: Top 25mm; Bottom 30mm </v>
      </c>
    </row>
    <row r="17" spans="2:7" x14ac:dyDescent="0.25">
      <c r="B17" t="str">
        <f>TEXT($B$3,0) &amp;" ----- "&amp;'Data - IA'!B19</f>
        <v>Frame: 56 ----- Stem: Integrated ----- Aerobar:+ 20 + bridge + 5</v>
      </c>
      <c r="C17">
        <f>$D$4+'Data - IA'!D19</f>
        <v>647</v>
      </c>
      <c r="D17">
        <f t="shared" si="0"/>
        <v>645</v>
      </c>
      <c r="E17" t="str">
        <f>'Data - IA'!F19&amp;" "</f>
        <v xml:space="preserve">Stem Bolts: 25mm ----- </v>
      </c>
      <c r="F17" t="str">
        <f>'Data - IA'!I19</f>
        <v xml:space="preserve">Aerobar Bolts: Top 30mm; Bottom 30mm </v>
      </c>
      <c r="G17" t="str">
        <f t="shared" si="1"/>
        <v xml:space="preserve">Stem Bolts: 25mm -----  Aerobar Bolts: Top 30mm; Bottom 30mm </v>
      </c>
    </row>
    <row r="18" spans="2:7" x14ac:dyDescent="0.25">
      <c r="B18" t="str">
        <f>TEXT($B$3,0) &amp;" ----- "&amp;'Data - IA'!B20</f>
        <v>Frame: 56 ----- Stem: Integrated ----- Aerobar:+ 30 + bridge</v>
      </c>
      <c r="C18">
        <f>$D$4+'Data - IA'!D20</f>
        <v>652</v>
      </c>
      <c r="D18">
        <f t="shared" si="0"/>
        <v>650</v>
      </c>
      <c r="E18" t="str">
        <f>'Data - IA'!F20&amp;" "</f>
        <v xml:space="preserve">Stem Bolts: 25mm ----- </v>
      </c>
      <c r="F18" t="str">
        <f>'Data - IA'!I20</f>
        <v xml:space="preserve">Aerobar Bolts: Top 30mm; Bottom 30mm </v>
      </c>
      <c r="G18" t="str">
        <f t="shared" si="1"/>
        <v xml:space="preserve">Stem Bolts: 25mm -----  Aerobar Bolts: Top 30mm; Bottom 30mm </v>
      </c>
    </row>
    <row r="19" spans="2:7" x14ac:dyDescent="0.25">
      <c r="B19" t="str">
        <f>TEXT($B$3,0) &amp;" ----- "&amp;'Data - IA'!B21</f>
        <v>Frame: 56 ----- Stem: Integrated ----- Aerobar:+ 30 + bridge + 5</v>
      </c>
      <c r="C19">
        <f>$D$4+'Data - IA'!D21</f>
        <v>657</v>
      </c>
      <c r="D19">
        <f t="shared" si="0"/>
        <v>655</v>
      </c>
      <c r="E19" t="str">
        <f>'Data - IA'!F21&amp;" "</f>
        <v xml:space="preserve">Stem Bolts: 25mm ----- </v>
      </c>
      <c r="F19" t="str">
        <f>'Data - IA'!I21</f>
        <v xml:space="preserve">Aerobar Bolts: Top 35mm; Bottom 30mm </v>
      </c>
      <c r="G19" t="str">
        <f t="shared" si="1"/>
        <v xml:space="preserve">Stem Bolts: 25mm -----  Aerobar Bolts: Top 35mm; Bottom 30mm </v>
      </c>
    </row>
    <row r="20" spans="2:7" x14ac:dyDescent="0.25">
      <c r="B20" t="str">
        <f>TEXT($B$3,0) &amp;" ----- "&amp;'Data - IA'!B22</f>
        <v>Frame: 56 ----- Stem: Integrated ----- Aerobar:+ 40 + bridge</v>
      </c>
      <c r="C20">
        <f>$D$4+'Data - IA'!D22</f>
        <v>662</v>
      </c>
      <c r="D20">
        <f t="shared" si="0"/>
        <v>660</v>
      </c>
      <c r="E20" t="str">
        <f>'Data - IA'!F22&amp;" "</f>
        <v xml:space="preserve">Stem Bolts: 25mm ----- </v>
      </c>
      <c r="F20" t="str">
        <f>'Data - IA'!I22</f>
        <v xml:space="preserve">Aerobar Bolts: Top 35mm; Bottom 30mm </v>
      </c>
      <c r="G20" t="str">
        <f t="shared" si="1"/>
        <v xml:space="preserve">Stem Bolts: 25mm -----  Aerobar Bolts: Top 35mm; Bottom 30mm </v>
      </c>
    </row>
    <row r="21" spans="2:7" x14ac:dyDescent="0.25">
      <c r="B21" t="str">
        <f>TEXT($B$3,0) &amp;" ----- "&amp;'Data - IA'!B23</f>
        <v>Frame: 56 ----- Stem: Integrated ----- Aerobar:+ 40 + bridge + 5</v>
      </c>
      <c r="C21">
        <f>$D$4+'Data - IA'!D23</f>
        <v>667</v>
      </c>
      <c r="D21">
        <f t="shared" si="0"/>
        <v>665</v>
      </c>
      <c r="E21" t="str">
        <f>'Data - IA'!F23&amp;" "</f>
        <v xml:space="preserve">Stem Bolts: 25mm ----- </v>
      </c>
      <c r="F21" t="str">
        <f>'Data - IA'!I23</f>
        <v xml:space="preserve">Aerobar Bolts: Top 35mm; Bottom 30mm </v>
      </c>
      <c r="G21" t="str">
        <f t="shared" si="1"/>
        <v xml:space="preserve">Stem Bolts: 25mm -----  Aerobar Bolts: Top 35mm; Bottom 30mm </v>
      </c>
    </row>
    <row r="22" spans="2:7" x14ac:dyDescent="0.25">
      <c r="B22" t="str">
        <f>TEXT($B$3,0) &amp;" ----- "&amp;'Data - IA'!B24</f>
        <v>Frame: 56 ----- Stem: Integrated ----- Aerobar:+ 40 + bridge + 10</v>
      </c>
      <c r="C22">
        <f>$D$4+'Data - IA'!D24</f>
        <v>672</v>
      </c>
      <c r="D22">
        <f t="shared" si="0"/>
        <v>670</v>
      </c>
      <c r="E22" t="str">
        <f>'Data - IA'!F24&amp;" "</f>
        <v xml:space="preserve">Stem Bolts: 25mm ----- </v>
      </c>
      <c r="F22" t="str">
        <f>'Data - IA'!I24</f>
        <v xml:space="preserve">Aerobar Bolts: Top 40mm; Bottom 30mm </v>
      </c>
      <c r="G22" t="str">
        <f t="shared" si="1"/>
        <v xml:space="preserve">Stem Bolts: 25mm -----  Aerobar Bolts: Top 40mm; Bottom 30mm </v>
      </c>
    </row>
    <row r="23" spans="2:7" x14ac:dyDescent="0.25">
      <c r="B23" t="str">
        <f>TEXT($B$3,0) &amp;" ----- "&amp;'Data - IA'!B25</f>
        <v>Frame: 56 ----- Stem: Integrated ----- Aerobar:+ 40 + bridge + 10 + 5</v>
      </c>
      <c r="C23">
        <f>$D$4+'Data - IA'!D25</f>
        <v>677</v>
      </c>
      <c r="D23">
        <f t="shared" si="0"/>
        <v>675</v>
      </c>
      <c r="E23" t="str">
        <f>'Data - IA'!F25&amp;" "</f>
        <v xml:space="preserve">Stem Bolts: 25mm ----- </v>
      </c>
      <c r="F23" t="str">
        <f>'Data - IA'!I25</f>
        <v xml:space="preserve">Aerobar Bolts: Top 45mm; Bottom 30mm </v>
      </c>
      <c r="G23" t="str">
        <f t="shared" si="1"/>
        <v xml:space="preserve">Stem Bolts: 25mm -----  Aerobar Bolts: Top 45mm; Bottom 30mm </v>
      </c>
    </row>
    <row r="24" spans="2:7" x14ac:dyDescent="0.25">
      <c r="B24" t="str">
        <f>TEXT($B$3,0) &amp;" ----- "&amp;'Data - IA'!B26</f>
        <v xml:space="preserve">Frame: 56 ----- Stem: Integrated w/15 ----- Aerobar: </v>
      </c>
      <c r="D24">
        <f t="shared" si="0"/>
        <v>0</v>
      </c>
      <c r="E24" t="str">
        <f>'Data - IA'!F26&amp;" "</f>
        <v xml:space="preserve">Stem Bolts: 40mm ----- </v>
      </c>
      <c r="F24" t="str">
        <f>'Data - IA'!I26</f>
        <v xml:space="preserve">Aerobar Bolts: Top N/A; Bottom N/A </v>
      </c>
      <c r="G24" t="str">
        <f t="shared" si="1"/>
        <v xml:space="preserve">Stem Bolts: 40mm -----  Aerobar Bolts: Top N/A; Bottom N/A </v>
      </c>
    </row>
    <row r="25" spans="2:7" x14ac:dyDescent="0.25">
      <c r="B25" t="str">
        <f>TEXT($B$3,0) &amp;" ----- "&amp;'Data - IA'!B27</f>
        <v>Frame: 56 ----- Stem: Integrated w/15 ----- Aerobar: + 5</v>
      </c>
      <c r="C25">
        <f>$D$4+'Data - IA'!D27</f>
        <v>637</v>
      </c>
      <c r="D25">
        <f t="shared" si="0"/>
        <v>635</v>
      </c>
      <c r="E25" t="str">
        <f>'Data - IA'!F27&amp;" "</f>
        <v xml:space="preserve">Stem Bolts: 40mm ----- </v>
      </c>
      <c r="F25" t="str">
        <f>'Data - IA'!I27</f>
        <v xml:space="preserve">Aerobar Bolts: Top 45mm; Bottom N/A </v>
      </c>
      <c r="G25" t="str">
        <f t="shared" si="1"/>
        <v xml:space="preserve">Stem Bolts: 40mm -----  Aerobar Bolts: Top 45mm; Bottom N/A </v>
      </c>
    </row>
    <row r="26" spans="2:7" x14ac:dyDescent="0.25">
      <c r="B26" t="str">
        <f>TEXT($B$3,0) &amp;" ----- "&amp;'Data - IA'!B28</f>
        <v>Frame: 56 ----- Stem: Integrated w/15 ----- Aerobar: + 10</v>
      </c>
      <c r="C26">
        <f>$D$4+'Data - IA'!D28</f>
        <v>642</v>
      </c>
      <c r="D26">
        <f t="shared" si="0"/>
        <v>640</v>
      </c>
      <c r="E26" t="str">
        <f>'Data - IA'!F28&amp;" "</f>
        <v xml:space="preserve">Stem Bolts: 40mm ----- </v>
      </c>
      <c r="F26" t="str">
        <f>'Data - IA'!I28</f>
        <v xml:space="preserve">Aerobar Bolts: Top 50mm; Bottom N/A </v>
      </c>
      <c r="G26" t="str">
        <f t="shared" si="1"/>
        <v xml:space="preserve">Stem Bolts: 40mm -----  Aerobar Bolts: Top 50mm; Bottom N/A </v>
      </c>
    </row>
    <row r="27" spans="2:7" x14ac:dyDescent="0.25">
      <c r="B27" t="str">
        <f>TEXT($B$3,0) &amp;" ----- "&amp;'Data - IA'!B29</f>
        <v>Frame: 56 ----- Stem: Integrated w/15 ----- Aerobar: + 5 + 10</v>
      </c>
      <c r="C27">
        <f>$D$4+'Data - IA'!D29</f>
        <v>647</v>
      </c>
      <c r="D27">
        <f t="shared" si="0"/>
        <v>645</v>
      </c>
      <c r="E27" t="str">
        <f>'Data - IA'!F29&amp;" "</f>
        <v xml:space="preserve">Stem Bolts: 40mm ----- </v>
      </c>
      <c r="F27" t="str">
        <f>'Data - IA'!I29</f>
        <v xml:space="preserve">Aerobar Bolts: Top 55mm; Bottom N/A </v>
      </c>
      <c r="G27" t="str">
        <f t="shared" si="1"/>
        <v xml:space="preserve">Stem Bolts: 40mm -----  Aerobar Bolts: Top 55mm; Bottom N/A </v>
      </c>
    </row>
    <row r="28" spans="2:7" x14ac:dyDescent="0.25">
      <c r="B28" t="str">
        <f>TEXT($B$3,0) &amp;" ----- "&amp;'Data - IA'!B30</f>
        <v>Frame: 56 ----- Stem: Integrated w/15 ----- Aerobar: + 20</v>
      </c>
      <c r="C28">
        <f>$D$4+'Data - IA'!D30</f>
        <v>652</v>
      </c>
      <c r="D28">
        <f t="shared" si="0"/>
        <v>650</v>
      </c>
      <c r="E28" t="str">
        <f>'Data - IA'!F30&amp;" "</f>
        <v xml:space="preserve">Stem Bolts: 40mm ----- </v>
      </c>
      <c r="F28" t="str">
        <f>'Data - IA'!I30</f>
        <v xml:space="preserve">Aerobar Bolts: Top 20mm; Bottom 30mm </v>
      </c>
      <c r="G28" t="str">
        <f t="shared" si="1"/>
        <v xml:space="preserve">Stem Bolts: 40mm -----  Aerobar Bolts: Top 20mm; Bottom 30mm </v>
      </c>
    </row>
    <row r="29" spans="2:7" x14ac:dyDescent="0.25">
      <c r="B29" t="str">
        <f>TEXT($B$3,0) &amp;" ----- "&amp;'Data - IA'!B31</f>
        <v>Frame: 56 ----- Stem: Integrated w/15 ----- Aerobar: + 20 + 5</v>
      </c>
      <c r="C29">
        <f>$D$4+'Data - IA'!D31</f>
        <v>657</v>
      </c>
      <c r="D29">
        <f t="shared" si="0"/>
        <v>655</v>
      </c>
      <c r="E29" t="str">
        <f>'Data - IA'!F31&amp;" "</f>
        <v xml:space="preserve">Stem Bolts: 40mm ----- </v>
      </c>
      <c r="F29" t="str">
        <f>'Data - IA'!I31</f>
        <v xml:space="preserve">Aerobar Bolts: Top 25mm; Bottom 30mm </v>
      </c>
      <c r="G29" t="str">
        <f t="shared" si="1"/>
        <v xml:space="preserve">Stem Bolts: 40mm -----  Aerobar Bolts: Top 25mm; Bottom 30mm </v>
      </c>
    </row>
    <row r="30" spans="2:7" x14ac:dyDescent="0.25">
      <c r="B30" t="str">
        <f>TEXT($B$3,0) &amp;" ----- "&amp;'Data - IA'!B32</f>
        <v>Frame: 56 ----- Stem: Integrated w/15 ----- Aerobar: + 20 + bridge</v>
      </c>
      <c r="C30">
        <f>$D$4+'Data - IA'!D32</f>
        <v>657</v>
      </c>
      <c r="D30">
        <f t="shared" si="0"/>
        <v>655</v>
      </c>
      <c r="E30" t="str">
        <f>'Data - IA'!F32&amp;" "</f>
        <v xml:space="preserve">Stem Bolts: 40mm ----- </v>
      </c>
      <c r="F30" t="str">
        <f>'Data - IA'!I32</f>
        <v xml:space="preserve">Aerobar Bolts: Top 25mm; Bottom 30mm </v>
      </c>
      <c r="G30" t="str">
        <f t="shared" si="1"/>
        <v xml:space="preserve">Stem Bolts: 40mm -----  Aerobar Bolts: Top 25mm; Bottom 30mm </v>
      </c>
    </row>
    <row r="31" spans="2:7" x14ac:dyDescent="0.25">
      <c r="B31" t="str">
        <f>TEXT($B$3,0) &amp;" ----- "&amp;'Data - IA'!B33</f>
        <v>Frame: 56 ----- Stem: Integrated w/15 ----- Aerobar: + 30</v>
      </c>
      <c r="C31">
        <f>$D$4+'Data - IA'!D33</f>
        <v>662</v>
      </c>
      <c r="D31">
        <f t="shared" si="0"/>
        <v>660</v>
      </c>
      <c r="E31" t="str">
        <f>'Data - IA'!F33&amp;" "</f>
        <v xml:space="preserve">Stem Bolts: 40mm ----- </v>
      </c>
      <c r="F31" t="str">
        <f>'Data - IA'!I33</f>
        <v xml:space="preserve">Aerobar Bolts: Top 25mm; Bottom 30mm </v>
      </c>
      <c r="G31" t="str">
        <f t="shared" si="1"/>
        <v xml:space="preserve">Stem Bolts: 40mm -----  Aerobar Bolts: Top 25mm; Bottom 30mm </v>
      </c>
    </row>
    <row r="32" spans="2:7" x14ac:dyDescent="0.25">
      <c r="B32" t="str">
        <f>TEXT($B$3,0) &amp;" ----- "&amp;'Data - IA'!B34</f>
        <v>Frame: 56 ----- Stem: Integrated w/15 ----- Aerobar: + 20 + bridge + 5</v>
      </c>
      <c r="C32">
        <f>$D$4+'Data - IA'!D34</f>
        <v>662</v>
      </c>
      <c r="D32">
        <f t="shared" si="0"/>
        <v>660</v>
      </c>
      <c r="E32" t="str">
        <f>'Data - IA'!F34&amp;" "</f>
        <v xml:space="preserve">Stem Bolts: 40mm ----- </v>
      </c>
      <c r="F32" t="str">
        <f>'Data - IA'!I34</f>
        <v xml:space="preserve">Aerobar Bolts: Top 30mm; Bottom 30mm </v>
      </c>
      <c r="G32" t="str">
        <f t="shared" si="1"/>
        <v xml:space="preserve">Stem Bolts: 40mm -----  Aerobar Bolts: Top 30mm; Bottom 30mm </v>
      </c>
    </row>
    <row r="33" spans="2:7" x14ac:dyDescent="0.25">
      <c r="B33" t="str">
        <f>TEXT($B$3,0) &amp;" ----- "&amp;'Data - IA'!B35</f>
        <v>Frame: 56 ----- Stem: Integrated w/15 ----- Aerobar: + 30 + bridge</v>
      </c>
      <c r="C33">
        <f>$D$4+'Data - IA'!D35</f>
        <v>667</v>
      </c>
      <c r="D33">
        <f t="shared" si="0"/>
        <v>665</v>
      </c>
      <c r="E33" t="str">
        <f>'Data - IA'!F35&amp;" "</f>
        <v xml:space="preserve">Stem Bolts: 40mm ----- </v>
      </c>
      <c r="F33" t="str">
        <f>'Data - IA'!I35</f>
        <v xml:space="preserve">Aerobar Bolts: Top 30mm; Bottom 30mm </v>
      </c>
      <c r="G33" t="str">
        <f>E33&amp;" "&amp;F33</f>
        <v xml:space="preserve">Stem Bolts: 40mm -----  Aerobar Bolts: Top 30mm; Bottom 30mm </v>
      </c>
    </row>
    <row r="34" spans="2:7" x14ac:dyDescent="0.25">
      <c r="B34" t="str">
        <f>TEXT($B$3,0) &amp;" ----- "&amp;'Data - IA'!B36</f>
        <v>Frame: 56 ----- Stem: Integrated w/15 ----- Aerobar: + 30 + bridge + 5</v>
      </c>
      <c r="C34">
        <f>$D$4+'Data - IA'!D36</f>
        <v>672</v>
      </c>
      <c r="D34">
        <f t="shared" si="0"/>
        <v>670</v>
      </c>
      <c r="E34" t="str">
        <f>'Data - IA'!F36&amp;" "</f>
        <v xml:space="preserve">Stem Bolts: 40mm ----- </v>
      </c>
      <c r="F34" t="str">
        <f>'Data - IA'!I36</f>
        <v xml:space="preserve">Aerobar Bolts: Top 35mm; Bottom 30mm </v>
      </c>
      <c r="G34" t="str">
        <f t="shared" ref="G34:G48" si="2">E34&amp;" "&amp;F34</f>
        <v xml:space="preserve">Stem Bolts: 40mm -----  Aerobar Bolts: Top 35mm; Bottom 30mm </v>
      </c>
    </row>
    <row r="35" spans="2:7" x14ac:dyDescent="0.25">
      <c r="B35" t="str">
        <f>TEXT($B$3,0) &amp;" ----- "&amp;'Data - IA'!B37</f>
        <v>Frame: 56 ----- Stem: Integrated w/15 ----- Aerobar: + 40 + bridge</v>
      </c>
      <c r="C35">
        <f>$D$4+'Data - IA'!D37</f>
        <v>677</v>
      </c>
      <c r="D35">
        <f t="shared" si="0"/>
        <v>675</v>
      </c>
      <c r="E35" t="str">
        <f>'Data - IA'!F37&amp;" "</f>
        <v xml:space="preserve">Stem Bolts: 40mm ----- </v>
      </c>
      <c r="F35" t="str">
        <f>'Data - IA'!I37</f>
        <v xml:space="preserve">Aerobar Bolts: Top 35mm; Bottom 30mm </v>
      </c>
      <c r="G35" t="str">
        <f t="shared" si="2"/>
        <v xml:space="preserve">Stem Bolts: 40mm -----  Aerobar Bolts: Top 35mm; Bottom 30mm </v>
      </c>
    </row>
    <row r="36" spans="2:7" x14ac:dyDescent="0.25">
      <c r="B36" t="str">
        <f>TEXT($B$3,0) &amp;" ----- "&amp;'Data - IA'!B38</f>
        <v>Frame: 56 ----- Stem: Integrated w/15 ----- Aerobar: + 40 + bridge + 5</v>
      </c>
      <c r="C36">
        <f>$D$4+'Data - IA'!D38</f>
        <v>682</v>
      </c>
      <c r="D36">
        <f t="shared" si="0"/>
        <v>680</v>
      </c>
      <c r="E36" t="str">
        <f>'Data - IA'!F38&amp;" "</f>
        <v xml:space="preserve">Stem Bolts: 40mm ----- </v>
      </c>
      <c r="F36" t="str">
        <f>'Data - IA'!I38</f>
        <v xml:space="preserve">Aerobar Bolts: Top 35mm; Bottom 30mm </v>
      </c>
      <c r="G36" t="str">
        <f t="shared" si="2"/>
        <v xml:space="preserve">Stem Bolts: 40mm -----  Aerobar Bolts: Top 35mm; Bottom 30mm </v>
      </c>
    </row>
    <row r="37" spans="2:7" x14ac:dyDescent="0.25">
      <c r="B37" t="str">
        <f>TEXT($B$3,0) &amp;" ----- "&amp;'Data - IA'!B39</f>
        <v>Frame: 56 ----- Stem: Integrated w/15 ----- Aerobar: + 40 + bridge + 10</v>
      </c>
      <c r="C37">
        <f>$D$4+'Data - IA'!D39</f>
        <v>687</v>
      </c>
      <c r="D37">
        <f t="shared" si="0"/>
        <v>685</v>
      </c>
      <c r="E37" t="str">
        <f>'Data - IA'!F39&amp;" "</f>
        <v xml:space="preserve">Stem Bolts: 40mm ----- </v>
      </c>
      <c r="F37" t="str">
        <f>'Data - IA'!I39</f>
        <v xml:space="preserve">Aerobar Bolts: Top 40mm; Bottom 30mm </v>
      </c>
      <c r="G37" t="str">
        <f t="shared" si="2"/>
        <v xml:space="preserve">Stem Bolts: 40mm -----  Aerobar Bolts: Top 40mm; Bottom 30mm </v>
      </c>
    </row>
    <row r="38" spans="2:7" x14ac:dyDescent="0.25">
      <c r="B38" t="str">
        <f>TEXT($B$3,0) &amp;" ----- "&amp;'Data - IA'!B40</f>
        <v>Frame: 56 ----- Stem: Integrated w/15 ----- Aerobar: + 40 + bridge + 10 + 5</v>
      </c>
      <c r="C38">
        <f>$D$4+'Data - IA'!D40</f>
        <v>692</v>
      </c>
      <c r="D38">
        <f t="shared" si="0"/>
        <v>690</v>
      </c>
      <c r="E38" t="str">
        <f>'Data - IA'!F40&amp;" "</f>
        <v xml:space="preserve">Stem Bolts: 40mm ----- </v>
      </c>
      <c r="F38" t="str">
        <f>'Data - IA'!I40</f>
        <v xml:space="preserve">Aerobar Bolts: Top 45mm; Bottom 30mm </v>
      </c>
      <c r="G38" t="str">
        <f t="shared" si="2"/>
        <v xml:space="preserve">Stem Bolts: 40mm -----  Aerobar Bolts: Top 45mm; Bottom 30mm </v>
      </c>
    </row>
    <row r="39" spans="2:7" x14ac:dyDescent="0.25">
      <c r="B39" t="str">
        <f>TEXT($B$3,0) &amp;" ----- "&amp;'Data - IA'!B41</f>
        <v xml:space="preserve">Frame: 56 ----- Stem: Integrated w/30 ----- Aerobar: </v>
      </c>
      <c r="D39">
        <f t="shared" si="0"/>
        <v>0</v>
      </c>
      <c r="E39" t="str">
        <f>'Data - IA'!F41&amp;" "</f>
        <v xml:space="preserve">Stem Bolts: 55mm ----- </v>
      </c>
      <c r="F39" t="str">
        <f>'Data - IA'!I41</f>
        <v xml:space="preserve">Aerobar Bolts: Top N/A; Bottom N/A </v>
      </c>
      <c r="G39" t="str">
        <f t="shared" si="2"/>
        <v xml:space="preserve">Stem Bolts: 55mm -----  Aerobar Bolts: Top N/A; Bottom N/A </v>
      </c>
    </row>
    <row r="40" spans="2:7" x14ac:dyDescent="0.25">
      <c r="B40" t="str">
        <f>TEXT($B$3,0) &amp;" ----- "&amp;'Data - IA'!B42</f>
        <v>Frame: 56 ----- Stem: Integrated w/30 ----- Aerobar: + 5</v>
      </c>
      <c r="C40">
        <f>$D$4+'Data - IA'!D42</f>
        <v>652</v>
      </c>
      <c r="D40">
        <f t="shared" si="0"/>
        <v>650</v>
      </c>
      <c r="E40" t="str">
        <f>'Data - IA'!F42&amp;" "</f>
        <v xml:space="preserve">Stem Bolts: 55mm ----- </v>
      </c>
      <c r="F40" t="str">
        <f>'Data - IA'!I42</f>
        <v xml:space="preserve">Aerobar Bolts: Top 45mm; Bottom N/A </v>
      </c>
      <c r="G40" t="str">
        <f t="shared" si="2"/>
        <v xml:space="preserve">Stem Bolts: 55mm -----  Aerobar Bolts: Top 45mm; Bottom N/A </v>
      </c>
    </row>
    <row r="41" spans="2:7" x14ac:dyDescent="0.25">
      <c r="B41" t="str">
        <f>TEXT($B$3,0) &amp;" ----- "&amp;'Data - IA'!B43</f>
        <v>Frame: 56 ----- Stem: Integrated w/30 ----- Aerobar: + 10</v>
      </c>
      <c r="C41">
        <f>$D$4+'Data - IA'!D43</f>
        <v>657</v>
      </c>
      <c r="D41">
        <f t="shared" si="0"/>
        <v>655</v>
      </c>
      <c r="E41" t="str">
        <f>'Data - IA'!F43&amp;" "</f>
        <v xml:space="preserve">Stem Bolts: 55mm ----- </v>
      </c>
      <c r="F41" t="str">
        <f>'Data - IA'!I43</f>
        <v xml:space="preserve">Aerobar Bolts: Top 50mm; Bottom N/A </v>
      </c>
      <c r="G41" t="str">
        <f t="shared" si="2"/>
        <v xml:space="preserve">Stem Bolts: 55mm -----  Aerobar Bolts: Top 50mm; Bottom N/A </v>
      </c>
    </row>
    <row r="42" spans="2:7" x14ac:dyDescent="0.25">
      <c r="B42" t="str">
        <f>TEXT($B$3,0) &amp;" ----- "&amp;'Data - IA'!B44</f>
        <v>Frame: 56 ----- Stem: Integrated w/30 ----- Aerobar: + 5 + 10</v>
      </c>
      <c r="C42">
        <f>$D$4+'Data - IA'!D44</f>
        <v>662</v>
      </c>
      <c r="D42">
        <f t="shared" si="0"/>
        <v>660</v>
      </c>
      <c r="E42" t="str">
        <f>'Data - IA'!F44&amp;" "</f>
        <v xml:space="preserve">Stem Bolts: 55mm ----- </v>
      </c>
      <c r="F42" t="str">
        <f>'Data - IA'!I44</f>
        <v xml:space="preserve">Aerobar Bolts: Top 55mm; Bottom N/A </v>
      </c>
      <c r="G42" t="str">
        <f t="shared" si="2"/>
        <v xml:space="preserve">Stem Bolts: 55mm -----  Aerobar Bolts: Top 55mm; Bottom N/A </v>
      </c>
    </row>
    <row r="43" spans="2:7" x14ac:dyDescent="0.25">
      <c r="B43" t="str">
        <f>TEXT($B$3,0) &amp;" ----- "&amp;'Data - IA'!B45</f>
        <v>Frame: 56 ----- Stem: Integrated w/30 ----- Aerobar: + 20</v>
      </c>
      <c r="C43">
        <f>$D$4+'Data - IA'!D45</f>
        <v>667</v>
      </c>
      <c r="D43">
        <f t="shared" si="0"/>
        <v>665</v>
      </c>
      <c r="E43" t="str">
        <f>'Data - IA'!F45&amp;" "</f>
        <v xml:space="preserve">Stem Bolts: 55mm ----- </v>
      </c>
      <c r="F43" t="str">
        <f>'Data - IA'!I45</f>
        <v xml:space="preserve">Aerobar Bolts: Top 20mm; Bottom 30mm </v>
      </c>
      <c r="G43" t="str">
        <f t="shared" si="2"/>
        <v xml:space="preserve">Stem Bolts: 55mm -----  Aerobar Bolts: Top 20mm; Bottom 30mm </v>
      </c>
    </row>
    <row r="44" spans="2:7" x14ac:dyDescent="0.25">
      <c r="B44" t="str">
        <f>TEXT($B$3,0) &amp;" ----- "&amp;'Data - IA'!B46</f>
        <v>Frame: 56 ----- Stem: Integrated w/30 ----- Aerobar: + 20 + 5</v>
      </c>
      <c r="C44">
        <f>$D$4+'Data - IA'!D46</f>
        <v>672</v>
      </c>
      <c r="D44">
        <f t="shared" si="0"/>
        <v>670</v>
      </c>
      <c r="E44" t="str">
        <f>'Data - IA'!F46&amp;" "</f>
        <v xml:space="preserve">Stem Bolts: 55mm ----- </v>
      </c>
      <c r="F44" t="str">
        <f>'Data - IA'!I46</f>
        <v xml:space="preserve">Aerobar Bolts: Top 25mm; Bottom 30mm </v>
      </c>
      <c r="G44" t="str">
        <f t="shared" si="2"/>
        <v xml:space="preserve">Stem Bolts: 55mm -----  Aerobar Bolts: Top 25mm; Bottom 30mm </v>
      </c>
    </row>
    <row r="45" spans="2:7" x14ac:dyDescent="0.25">
      <c r="B45" t="str">
        <f>TEXT($B$3,0) &amp;" ----- "&amp;'Data - IA'!B47</f>
        <v>Frame: 56 ----- Stem: Integrated w/30 ----- Aerobar: + 20 + bridge</v>
      </c>
      <c r="C45">
        <f>$D$4+'Data - IA'!D47</f>
        <v>672</v>
      </c>
      <c r="D45">
        <f t="shared" si="0"/>
        <v>670</v>
      </c>
      <c r="E45" t="str">
        <f>'Data - IA'!F47&amp;" "</f>
        <v xml:space="preserve">Stem Bolts: 55mm ----- </v>
      </c>
      <c r="F45" t="str">
        <f>'Data - IA'!I47</f>
        <v xml:space="preserve">Aerobar Bolts: Top 25mm; Bottom 30mm </v>
      </c>
      <c r="G45" t="str">
        <f t="shared" si="2"/>
        <v xml:space="preserve">Stem Bolts: 55mm -----  Aerobar Bolts: Top 25mm; Bottom 30mm </v>
      </c>
    </row>
    <row r="46" spans="2:7" x14ac:dyDescent="0.25">
      <c r="B46" t="str">
        <f>TEXT($B$3,0) &amp;" ----- "&amp;'Data - IA'!B48</f>
        <v>Frame: 56 ----- Stem: Integrated w/30 ----- Aerobar: + 30</v>
      </c>
      <c r="C46">
        <f>$D$4+'Data - IA'!D48</f>
        <v>677</v>
      </c>
      <c r="D46">
        <f t="shared" si="0"/>
        <v>675</v>
      </c>
      <c r="E46" t="str">
        <f>'Data - IA'!F48&amp;" "</f>
        <v xml:space="preserve">Stem Bolts: 55mm ----- </v>
      </c>
      <c r="F46" t="str">
        <f>'Data - IA'!I48</f>
        <v xml:space="preserve">Aerobar Bolts: Top 25mm; Bottom 30mm </v>
      </c>
      <c r="G46" t="str">
        <f t="shared" si="2"/>
        <v xml:space="preserve">Stem Bolts: 55mm -----  Aerobar Bolts: Top 25mm; Bottom 30mm </v>
      </c>
    </row>
    <row r="47" spans="2:7" x14ac:dyDescent="0.25">
      <c r="B47" t="str">
        <f>TEXT($B$3,0) &amp;" ----- "&amp;'Data - IA'!B49</f>
        <v>Frame: 56 ----- Stem: Integrated w/30 ----- Aerobar: + 20 + bridge + 5</v>
      </c>
      <c r="C47">
        <f>$D$4+'Data - IA'!D49</f>
        <v>677</v>
      </c>
      <c r="D47">
        <f t="shared" si="0"/>
        <v>675</v>
      </c>
      <c r="E47" t="str">
        <f>'Data - IA'!F49&amp;" "</f>
        <v xml:space="preserve">Stem Bolts: 55mm ----- </v>
      </c>
      <c r="F47" t="str">
        <f>'Data - IA'!I49</f>
        <v xml:space="preserve">Aerobar Bolts: Top 30mm; Bottom 30mm </v>
      </c>
      <c r="G47" t="str">
        <f t="shared" si="2"/>
        <v xml:space="preserve">Stem Bolts: 55mm -----  Aerobar Bolts: Top 30mm; Bottom 30mm </v>
      </c>
    </row>
    <row r="48" spans="2:7" x14ac:dyDescent="0.25">
      <c r="B48" t="str">
        <f>TEXT($B$3,0) &amp;" ----- "&amp;'Data - IA'!B50</f>
        <v>Frame: 56 ----- Stem: Integrated w/30 ----- Aerobar: + 30 + bridge</v>
      </c>
      <c r="C48">
        <f>$D$4+'Data - IA'!D50</f>
        <v>682</v>
      </c>
      <c r="D48">
        <f t="shared" si="0"/>
        <v>680</v>
      </c>
      <c r="E48" t="str">
        <f>'Data - IA'!F50&amp;" "</f>
        <v xml:space="preserve">Stem Bolts: 55mm ----- </v>
      </c>
      <c r="F48" t="str">
        <f>'Data - IA'!I50</f>
        <v xml:space="preserve">Aerobar Bolts: Top 30mm; Bottom 30mm </v>
      </c>
      <c r="G48" t="str">
        <f t="shared" si="2"/>
        <v xml:space="preserve">Stem Bolts: 55mm -----  Aerobar Bolts: Top 30mm; Bottom 30mm </v>
      </c>
    </row>
    <row r="49" spans="2:13" x14ac:dyDescent="0.25">
      <c r="B49" t="str">
        <f>TEXT($B$3,0) &amp;" ----- "&amp;'Data - IA'!B51</f>
        <v>Frame: 56 ----- Stem: Integrated w/30 ----- Aerobar: + 30 + bridge + 5</v>
      </c>
      <c r="C49">
        <f>$D$4+'Data - IA'!D51</f>
        <v>687</v>
      </c>
      <c r="D49">
        <f t="shared" si="0"/>
        <v>685</v>
      </c>
      <c r="E49" t="str">
        <f>'Data - IA'!F51&amp;" "</f>
        <v xml:space="preserve">Stem Bolts: 55mm ----- </v>
      </c>
      <c r="F49" t="str">
        <f>'Data - IA'!I51</f>
        <v xml:space="preserve">Aerobar Bolts: Top 35mm; Bottom 30mm </v>
      </c>
      <c r="G49" t="str">
        <f>E49&amp;" "&amp;F49</f>
        <v xml:space="preserve">Stem Bolts: 55mm -----  Aerobar Bolts: Top 35mm; Bottom 30mm </v>
      </c>
    </row>
    <row r="50" spans="2:13" x14ac:dyDescent="0.25">
      <c r="B50" t="str">
        <f>TEXT($B$3,0) &amp;" ----- "&amp;'Data - IA'!B52</f>
        <v>Frame: 56 ----- Stem: Integrated w/30 ----- Aerobar: + 40 + bridge</v>
      </c>
      <c r="C50">
        <f>$D$4+'Data - IA'!D52</f>
        <v>692</v>
      </c>
      <c r="D50">
        <f t="shared" si="0"/>
        <v>690</v>
      </c>
      <c r="E50" t="str">
        <f>'Data - IA'!F52&amp;" "</f>
        <v xml:space="preserve">Stem Bolts: 55mm ----- </v>
      </c>
      <c r="F50" t="str">
        <f>'Data - IA'!I52</f>
        <v xml:space="preserve">Aerobar Bolts: Top 35mm; Bottom 30mm </v>
      </c>
      <c r="G50" t="str">
        <f t="shared" ref="G50:G59" si="3">E50&amp;" "&amp;F50</f>
        <v xml:space="preserve">Stem Bolts: 55mm -----  Aerobar Bolts: Top 35mm; Bottom 30mm </v>
      </c>
    </row>
    <row r="51" spans="2:13" x14ac:dyDescent="0.25">
      <c r="B51" t="str">
        <f>TEXT($B$3,0) &amp;" ----- "&amp;'Data - IA'!B53</f>
        <v>Frame: 56 ----- Stem: Integrated w/30 ----- Aerobar: + 40 + bridge + 5</v>
      </c>
      <c r="C51">
        <f>$D$4+'Data - IA'!D53</f>
        <v>697</v>
      </c>
      <c r="D51">
        <f t="shared" si="0"/>
        <v>695</v>
      </c>
      <c r="E51" t="str">
        <f>'Data - IA'!F53&amp;" "</f>
        <v xml:space="preserve">Stem Bolts: 55mm ----- </v>
      </c>
      <c r="F51" t="str">
        <f>'Data - IA'!I53</f>
        <v xml:space="preserve">Aerobar Bolts: Top 35mm; Bottom 30mm </v>
      </c>
      <c r="G51" t="str">
        <f t="shared" si="3"/>
        <v xml:space="preserve">Stem Bolts: 55mm -----  Aerobar Bolts: Top 35mm; Bottom 30mm </v>
      </c>
    </row>
    <row r="52" spans="2:13" x14ac:dyDescent="0.25">
      <c r="B52" t="str">
        <f>TEXT($B$3,0) &amp;" ----- "&amp;'Data - IA'!B54</f>
        <v>Frame: 56 ----- Stem: Integrated w/30 ----- Aerobar: + 40 + bridge + 10</v>
      </c>
      <c r="C52">
        <f>$D$4+'Data - IA'!D54</f>
        <v>702</v>
      </c>
      <c r="D52">
        <f t="shared" si="0"/>
        <v>700</v>
      </c>
      <c r="E52" t="str">
        <f>'Data - IA'!F54&amp;" "</f>
        <v xml:space="preserve">Stem Bolts: 55mm ----- </v>
      </c>
      <c r="F52" t="str">
        <f>'Data - IA'!I54</f>
        <v xml:space="preserve">Aerobar Bolts: Top 40mm; Bottom 30mm </v>
      </c>
      <c r="G52" t="str">
        <f t="shared" si="3"/>
        <v xml:space="preserve">Stem Bolts: 55mm -----  Aerobar Bolts: Top 40mm; Bottom 30mm </v>
      </c>
    </row>
    <row r="53" spans="2:13" x14ac:dyDescent="0.25">
      <c r="B53" t="str">
        <f>TEXT($B$3,0) &amp;" ----- "&amp;'Data - IA'!B55</f>
        <v>Frame: 56 ----- Stem: Integrated w/30 ----- Aerobar: + 40 + bridge + 10 + 5</v>
      </c>
      <c r="C53">
        <f>$D$4+'Data - IA'!D55</f>
        <v>707</v>
      </c>
      <c r="D53">
        <f t="shared" si="0"/>
        <v>705</v>
      </c>
      <c r="E53" t="str">
        <f>'Data - IA'!F55&amp;" "</f>
        <v xml:space="preserve">Stem Bolts: 55mm ----- </v>
      </c>
      <c r="F53" t="str">
        <f>'Data - IA'!I55</f>
        <v xml:space="preserve">Aerobar Bolts: Top 45mm; Bottom 30mm </v>
      </c>
      <c r="G53" t="str">
        <f t="shared" si="3"/>
        <v xml:space="preserve">Stem Bolts: 55mm -----  Aerobar Bolts: Top 45mm; Bottom 30mm </v>
      </c>
    </row>
    <row r="54" spans="2:13" x14ac:dyDescent="0.25">
      <c r="B54" t="str">
        <f>TEXT($B$3,0) &amp;" ----- "&amp;'Data - IA'!B56</f>
        <v xml:space="preserve">Frame: 56 ----- Stem: 31.8 ----- Carbon Aerobar: </v>
      </c>
      <c r="E54" t="str">
        <f>'Data - IA'!F56&amp;" "</f>
        <v xml:space="preserve">Stem Bolts: N/A ----- </v>
      </c>
      <c r="F54" t="str">
        <f>'Data - IA'!I56</f>
        <v xml:space="preserve">Aerobar Bolts: Top N/A; Bottom N/A </v>
      </c>
      <c r="G54" t="str">
        <f t="shared" si="3"/>
        <v xml:space="preserve">Stem Bolts: N/A -----  Aerobar Bolts: Top N/A; Bottom N/A </v>
      </c>
    </row>
    <row r="55" spans="2:13" x14ac:dyDescent="0.25">
      <c r="B55" t="str">
        <f>TEXT($B$3,0) &amp;" ----- "&amp;'Data - IA'!B57</f>
        <v>Frame: 56 ----- Stem: 31.8 ----- Carbon Aerobar: + 5</v>
      </c>
      <c r="C55">
        <f>$D$4+'Data - IA'!D57</f>
        <v>610</v>
      </c>
      <c r="D55">
        <f t="shared" ref="D55:D83" si="4">ROUND(C55/5,0)*5</f>
        <v>610</v>
      </c>
      <c r="E55" t="str">
        <f>'Data - IA'!F57&amp;" "</f>
        <v xml:space="preserve">Stem Bolts: N/A ----- </v>
      </c>
      <c r="F55" t="str">
        <f>'Data - IA'!I57</f>
        <v xml:space="preserve">Aerobar Bolts: Top 45mm; Bottom N/A </v>
      </c>
      <c r="G55" t="str">
        <f t="shared" si="3"/>
        <v xml:space="preserve">Stem Bolts: N/A -----  Aerobar Bolts: Top 45mm; Bottom N/A </v>
      </c>
    </row>
    <row r="56" spans="2:13" x14ac:dyDescent="0.25">
      <c r="B56" t="str">
        <f>TEXT($B$3,0) &amp;" ----- "&amp;'Data - IA'!B58</f>
        <v>Frame: 56 ----- Stem: 31.8 ----- Carbon Aerobar: + 10</v>
      </c>
      <c r="C56">
        <f>$D$4+'Data - IA'!D58</f>
        <v>615</v>
      </c>
      <c r="D56">
        <f t="shared" si="4"/>
        <v>615</v>
      </c>
      <c r="E56" t="str">
        <f>'Data - IA'!F58&amp;" "</f>
        <v xml:space="preserve">Stem Bolts: N/A ----- </v>
      </c>
      <c r="F56" t="str">
        <f>'Data - IA'!I58</f>
        <v xml:space="preserve">Aerobar Bolts: Top 50mm; Bottom N/A </v>
      </c>
      <c r="G56" t="str">
        <f t="shared" si="3"/>
        <v xml:space="preserve">Stem Bolts: N/A -----  Aerobar Bolts: Top 50mm; Bottom N/A </v>
      </c>
    </row>
    <row r="57" spans="2:13" x14ac:dyDescent="0.25">
      <c r="B57" t="str">
        <f>TEXT($B$3,0) &amp;" ----- "&amp;'Data - IA'!B59</f>
        <v>Frame: 56 ----- Stem: 31.8 ----- Carbon Aerobar: + 5 + 10</v>
      </c>
      <c r="C57">
        <f>$D$4+'Data - IA'!D59</f>
        <v>620</v>
      </c>
      <c r="D57">
        <f t="shared" si="4"/>
        <v>620</v>
      </c>
      <c r="E57" t="str">
        <f>'Data - IA'!F59&amp;" "</f>
        <v xml:space="preserve">Stem Bolts: N/A ----- </v>
      </c>
      <c r="F57" t="str">
        <f>'Data - IA'!I59</f>
        <v xml:space="preserve">Aerobar Bolts: Top 55mm; Bottom N/A </v>
      </c>
      <c r="G57" t="str">
        <f t="shared" si="3"/>
        <v xml:space="preserve">Stem Bolts: N/A -----  Aerobar Bolts: Top 55mm; Bottom N/A </v>
      </c>
    </row>
    <row r="58" spans="2:13" x14ac:dyDescent="0.25">
      <c r="B58" t="str">
        <f>TEXT($B$3,0) &amp;" ----- "&amp;'Data - IA'!B60</f>
        <v>Frame: 56 ----- Stem: 31.8 ----- Carbon Aerobar: + 20</v>
      </c>
      <c r="C58">
        <f>$D$4+'Data - IA'!D60</f>
        <v>625</v>
      </c>
      <c r="D58">
        <f t="shared" si="4"/>
        <v>625</v>
      </c>
      <c r="E58" t="str">
        <f>'Data - IA'!F60&amp;" "</f>
        <v xml:space="preserve">Stem Bolts: N/A ----- </v>
      </c>
      <c r="F58" t="str">
        <f>'Data - IA'!I60</f>
        <v xml:space="preserve">Aerobar Bolts: Top 20mm; Bottom 30mm </v>
      </c>
      <c r="G58" t="str">
        <f t="shared" si="3"/>
        <v xml:space="preserve">Stem Bolts: N/A -----  Aerobar Bolts: Top 20mm; Bottom 30mm </v>
      </c>
      <c r="M58" t="s">
        <v>96</v>
      </c>
    </row>
    <row r="59" spans="2:13" x14ac:dyDescent="0.25">
      <c r="B59" t="str">
        <f>TEXT($B$3,0) &amp;" ----- "&amp;'Data - IA'!B61</f>
        <v>Frame: 56 ----- Stem: 31.8 ----- Carbon Aerobar: + 20 + 5</v>
      </c>
      <c r="C59">
        <f>$D$4+'Data - IA'!D61</f>
        <v>630</v>
      </c>
      <c r="D59">
        <f t="shared" si="4"/>
        <v>630</v>
      </c>
      <c r="E59" t="str">
        <f>'Data - IA'!F61&amp;" "</f>
        <v xml:space="preserve">Stem Bolts: N/A ----- </v>
      </c>
      <c r="F59" t="str">
        <f>'Data - IA'!I61</f>
        <v xml:space="preserve">Aerobar Bolts: Top 25mm; Bottom 30mm </v>
      </c>
      <c r="G59" t="str">
        <f t="shared" si="3"/>
        <v xml:space="preserve">Stem Bolts: N/A -----  Aerobar Bolts: Top 25mm; Bottom 30mm </v>
      </c>
    </row>
    <row r="60" spans="2:13" x14ac:dyDescent="0.25">
      <c r="B60" t="str">
        <f>TEXT($B$3,0) &amp;" ----- "&amp;'Data - IA'!B62</f>
        <v>Frame: 56 ----- Stem: 31.8 ----- Carbon Aerobar: + 20 + bridge</v>
      </c>
      <c r="C60">
        <f>$D$4+'Data - IA'!D62</f>
        <v>630</v>
      </c>
      <c r="D60">
        <f t="shared" si="4"/>
        <v>630</v>
      </c>
      <c r="E60" t="str">
        <f>'Data - IA'!F62&amp;" "</f>
        <v xml:space="preserve">Stem Bolts: N/A ----- </v>
      </c>
      <c r="F60" t="str">
        <f>'Data - IA'!I62</f>
        <v xml:space="preserve">Aerobar Bolts: Top 25mm; Bottom 30mm </v>
      </c>
      <c r="G60" t="str">
        <f>E60&amp;" "&amp;F60</f>
        <v xml:space="preserve">Stem Bolts: N/A -----  Aerobar Bolts: Top 25mm; Bottom 30mm </v>
      </c>
    </row>
    <row r="61" spans="2:13" x14ac:dyDescent="0.25">
      <c r="B61" t="str">
        <f>TEXT($B$3,0) &amp;" ----- "&amp;'Data - IA'!B63</f>
        <v>Frame: 56 ----- Stem: 31.8 ----- Carbon Aerobar: + 30</v>
      </c>
      <c r="C61">
        <f>$D$4+'Data - IA'!D63</f>
        <v>635</v>
      </c>
      <c r="D61">
        <f t="shared" si="4"/>
        <v>635</v>
      </c>
      <c r="E61" t="str">
        <f>'Data - IA'!F63&amp;" "</f>
        <v xml:space="preserve">Stem Bolts: N/A ----- </v>
      </c>
      <c r="F61" t="str">
        <f>'Data - IA'!I63</f>
        <v xml:space="preserve">Aerobar Bolts: Top 25mm; Bottom 30mm </v>
      </c>
      <c r="G61" t="str">
        <f t="shared" ref="G61:G83" si="5">E61&amp;" "&amp;F61</f>
        <v xml:space="preserve">Stem Bolts: N/A -----  Aerobar Bolts: Top 25mm; Bottom 30mm </v>
      </c>
    </row>
    <row r="62" spans="2:13" x14ac:dyDescent="0.25">
      <c r="B62" t="str">
        <f>TEXT($B$3,0) &amp;" ----- "&amp;'Data - IA'!B64</f>
        <v>Frame: 56 ----- Stem: 31.8 ----- Carbon Aerobar: + 20 + bridge + 5</v>
      </c>
      <c r="C62">
        <f>$D$4+'Data - IA'!D64</f>
        <v>635</v>
      </c>
      <c r="D62">
        <f t="shared" si="4"/>
        <v>635</v>
      </c>
      <c r="E62" t="str">
        <f>'Data - IA'!F64&amp;" "</f>
        <v xml:space="preserve">Stem Bolts: N/A ----- </v>
      </c>
      <c r="F62" t="str">
        <f>'Data - IA'!I64</f>
        <v xml:space="preserve">Aerobar Bolts: Top 30mm; Bottom 30mm </v>
      </c>
      <c r="G62" t="str">
        <f t="shared" si="5"/>
        <v xml:space="preserve">Stem Bolts: N/A -----  Aerobar Bolts: Top 30mm; Bottom 30mm </v>
      </c>
    </row>
    <row r="63" spans="2:13" x14ac:dyDescent="0.25">
      <c r="B63" t="str">
        <f>TEXT($B$3,0) &amp;" ----- "&amp;'Data - IA'!B65</f>
        <v>Frame: 56 ----- Stem: 31.8 ----- Carbon Aerobar: + 30 + bridge</v>
      </c>
      <c r="C63">
        <f>$D$4+'Data - IA'!D65</f>
        <v>640</v>
      </c>
      <c r="D63">
        <f t="shared" si="4"/>
        <v>640</v>
      </c>
      <c r="E63" t="str">
        <f>'Data - IA'!F65&amp;" "</f>
        <v xml:space="preserve">Stem Bolts: N/A ----- </v>
      </c>
      <c r="F63" t="str">
        <f>'Data - IA'!I65</f>
        <v xml:space="preserve">Aerobar Bolts: Top 30mm; Bottom 30mm </v>
      </c>
      <c r="G63" t="str">
        <f t="shared" si="5"/>
        <v xml:space="preserve">Stem Bolts: N/A -----  Aerobar Bolts: Top 30mm; Bottom 30mm </v>
      </c>
    </row>
    <row r="64" spans="2:13" x14ac:dyDescent="0.25">
      <c r="B64" t="str">
        <f>TEXT($B$3,0) &amp;" ----- "&amp;'Data - IA'!B66</f>
        <v>Frame: 56 ----- Stem: 31.8 ----- Carbon Aerobar: + 30 + bridge + 5</v>
      </c>
      <c r="C64">
        <f>$D$4+'Data - IA'!D66</f>
        <v>645</v>
      </c>
      <c r="D64">
        <f t="shared" si="4"/>
        <v>645</v>
      </c>
      <c r="E64" t="str">
        <f>'Data - IA'!F66&amp;" "</f>
        <v xml:space="preserve">Stem Bolts: N/A ----- </v>
      </c>
      <c r="F64" t="str">
        <f>'Data - IA'!I66</f>
        <v xml:space="preserve">Aerobar Bolts: Top 35mm; Bottom 30mm </v>
      </c>
      <c r="G64" t="str">
        <f t="shared" si="5"/>
        <v xml:space="preserve">Stem Bolts: N/A -----  Aerobar Bolts: Top 35mm; Bottom 30mm </v>
      </c>
    </row>
    <row r="65" spans="2:7" x14ac:dyDescent="0.25">
      <c r="B65" t="str">
        <f>TEXT($B$3,0) &amp;" ----- "&amp;'Data - IA'!B67</f>
        <v>Frame: 56 ----- Stem: 31.8 ----- Carbon Aerobar: + 40 + bridge</v>
      </c>
      <c r="C65">
        <f>$D$4+'Data - IA'!D67</f>
        <v>650</v>
      </c>
      <c r="D65">
        <f t="shared" si="4"/>
        <v>650</v>
      </c>
      <c r="E65" t="str">
        <f>'Data - IA'!F67&amp;" "</f>
        <v xml:space="preserve">Stem Bolts: N/A ----- </v>
      </c>
      <c r="F65" t="str">
        <f>'Data - IA'!I67</f>
        <v xml:space="preserve">Aerobar Bolts: Top 35mm; Bottom 30mm </v>
      </c>
      <c r="G65" t="str">
        <f t="shared" si="5"/>
        <v xml:space="preserve">Stem Bolts: N/A -----  Aerobar Bolts: Top 35mm; Bottom 30mm </v>
      </c>
    </row>
    <row r="66" spans="2:7" x14ac:dyDescent="0.25">
      <c r="B66" t="str">
        <f>TEXT($B$3,0) &amp;" ----- "&amp;'Data - IA'!B68</f>
        <v>Frame: 56 ----- Stem: 31.8 ----- Carbon Aerobar: + 40 + bridge + 5</v>
      </c>
      <c r="C66">
        <f>$D$4+'Data - IA'!D68</f>
        <v>655</v>
      </c>
      <c r="D66">
        <f t="shared" si="4"/>
        <v>655</v>
      </c>
      <c r="E66" t="str">
        <f>'Data - IA'!F68&amp;" "</f>
        <v xml:space="preserve">Stem Bolts: N/A ----- </v>
      </c>
      <c r="F66" t="str">
        <f>'Data - IA'!I68</f>
        <v xml:space="preserve">Aerobar Bolts: Top 35mm; Bottom 30mm </v>
      </c>
      <c r="G66" t="str">
        <f t="shared" si="5"/>
        <v xml:space="preserve">Stem Bolts: N/A -----  Aerobar Bolts: Top 35mm; Bottom 30mm </v>
      </c>
    </row>
    <row r="67" spans="2:7" x14ac:dyDescent="0.25">
      <c r="B67" t="str">
        <f>TEXT($B$3,0) &amp;" ----- "&amp;'Data - IA'!B69</f>
        <v>Frame: 56 ----- Stem: 31.8 ----- Carbon Aerobar: + 40 + bridge + 10</v>
      </c>
      <c r="C67">
        <f>$D$4+'Data - IA'!D69</f>
        <v>660</v>
      </c>
      <c r="D67">
        <f t="shared" si="4"/>
        <v>660</v>
      </c>
      <c r="E67" t="str">
        <f>'Data - IA'!F69&amp;" "</f>
        <v xml:space="preserve">Stem Bolts: N/A ----- </v>
      </c>
      <c r="F67" t="str">
        <f>'Data - IA'!I69</f>
        <v xml:space="preserve">Aerobar Bolts: Top 40mm; Bottom 30mm </v>
      </c>
      <c r="G67" t="str">
        <f t="shared" si="5"/>
        <v xml:space="preserve">Stem Bolts: N/A -----  Aerobar Bolts: Top 40mm; Bottom 30mm </v>
      </c>
    </row>
    <row r="68" spans="2:7" x14ac:dyDescent="0.25">
      <c r="B68" t="str">
        <f>TEXT($B$3,0) &amp;" ----- "&amp;'Data - IA'!B70</f>
        <v>Frame: 56 ----- Stem: 31.8 ----- Carbon Aerobar: + 40 + bridge + 10 + 5</v>
      </c>
      <c r="C68">
        <f>$D$4+'Data - IA'!D70</f>
        <v>665</v>
      </c>
      <c r="D68">
        <f t="shared" si="4"/>
        <v>665</v>
      </c>
      <c r="E68" t="str">
        <f>'Data - IA'!F70&amp;" "</f>
        <v xml:space="preserve">Stem Bolts: N/A ----- </v>
      </c>
      <c r="F68" t="str">
        <f>'Data - IA'!I70</f>
        <v xml:space="preserve">Aerobar Bolts: Top 45mm; Bottom 30mm </v>
      </c>
      <c r="G68" t="str">
        <f t="shared" si="5"/>
        <v xml:space="preserve">Stem Bolts: N/A -----  Aerobar Bolts: Top 45mm; Bottom 30mm </v>
      </c>
    </row>
    <row r="69" spans="2:7" x14ac:dyDescent="0.25">
      <c r="B69" t="str">
        <f>TEXT($B$3,0) &amp;" ----- "&amp;'Data - IA'!B71</f>
        <v xml:space="preserve">Frame: 56 ----- Stem: 31.8 ----- Alloy Aerobar: </v>
      </c>
      <c r="C69">
        <f>$D$4+'Data - IA'!D71</f>
        <v>620</v>
      </c>
      <c r="D69">
        <f t="shared" si="4"/>
        <v>620</v>
      </c>
      <c r="E69" t="str">
        <f>'Data - IA'!F71&amp;" "</f>
        <v xml:space="preserve">Stem Bolts: N/A ----- </v>
      </c>
      <c r="F69" t="str">
        <f>'Data - IA'!I71</f>
        <v xml:space="preserve">Aerobar Bolts: Top 20mm; Bottom N/A </v>
      </c>
      <c r="G69" t="str">
        <f t="shared" si="5"/>
        <v xml:space="preserve">Stem Bolts: N/A -----  Aerobar Bolts: Top 20mm; Bottom N/A </v>
      </c>
    </row>
    <row r="70" spans="2:7" x14ac:dyDescent="0.25">
      <c r="B70" t="str">
        <f>TEXT($B$3,0) &amp;" ----- "&amp;'Data - IA'!B72</f>
        <v>Frame: 56 ----- Stem: 31.8 ----- Alloy Aerobar: + 5</v>
      </c>
      <c r="C70">
        <f>$D$4+'Data - IA'!D72</f>
        <v>625</v>
      </c>
      <c r="D70">
        <f t="shared" si="4"/>
        <v>625</v>
      </c>
      <c r="E70" t="str">
        <f>'Data - IA'!F72&amp;" "</f>
        <v xml:space="preserve">Stem Bolts: N/A ----- </v>
      </c>
      <c r="F70" t="str">
        <f>'Data - IA'!I72</f>
        <v xml:space="preserve">Aerobar Bolts: Top 25mm; Bottom N/A </v>
      </c>
      <c r="G70" t="str">
        <f t="shared" si="5"/>
        <v xml:space="preserve">Stem Bolts: N/A -----  Aerobar Bolts: Top 25mm; Bottom N/A </v>
      </c>
    </row>
    <row r="71" spans="2:7" x14ac:dyDescent="0.25">
      <c r="B71" t="str">
        <f>TEXT($B$3,0) &amp;" ----- "&amp;'Data - IA'!B73</f>
        <v>Frame: 56 ----- Stem: 31.8 ----- Alloy Aerobar: + 10</v>
      </c>
      <c r="C71">
        <f>$D$4+'Data - IA'!D73</f>
        <v>630</v>
      </c>
      <c r="D71">
        <f t="shared" si="4"/>
        <v>630</v>
      </c>
      <c r="E71" t="str">
        <f>'Data - IA'!F73&amp;" "</f>
        <v xml:space="preserve">Stem Bolts: N/A ----- </v>
      </c>
      <c r="F71" t="str">
        <f>'Data - IA'!I73</f>
        <v xml:space="preserve">Aerobar Bolts: Top 30mm; Bottom N/A </v>
      </c>
      <c r="G71" t="str">
        <f t="shared" si="5"/>
        <v xml:space="preserve">Stem Bolts: N/A -----  Aerobar Bolts: Top 30mm; Bottom N/A </v>
      </c>
    </row>
    <row r="72" spans="2:7" x14ac:dyDescent="0.25">
      <c r="B72" t="str">
        <f>TEXT($B$3,0) &amp;" ----- "&amp;'Data - IA'!B74</f>
        <v>Frame: 56 ----- Stem: 31.8 ----- Alloy Aerobar: + 5 + 10</v>
      </c>
      <c r="C72">
        <f>$D$4+'Data - IA'!D74</f>
        <v>635</v>
      </c>
      <c r="D72">
        <f t="shared" si="4"/>
        <v>635</v>
      </c>
      <c r="E72" t="str">
        <f>'Data - IA'!F74&amp;" "</f>
        <v xml:space="preserve">Stem Bolts: N/A ----- </v>
      </c>
      <c r="F72" t="str">
        <f>'Data - IA'!I74</f>
        <v xml:space="preserve">Aerobar Bolts: Top 35mm; Bottom N/A </v>
      </c>
      <c r="G72" t="str">
        <f t="shared" si="5"/>
        <v xml:space="preserve">Stem Bolts: N/A -----  Aerobar Bolts: Top 35mm; Bottom N/A </v>
      </c>
    </row>
    <row r="73" spans="2:7" x14ac:dyDescent="0.25">
      <c r="B73" t="str">
        <f>TEXT($B$3,0) &amp;" ----- "&amp;'Data - IA'!B75</f>
        <v>Frame: 56 ----- Stem: 31.8 ----- Alloy Aerobar: + 20</v>
      </c>
      <c r="C73">
        <f>$D$4+'Data - IA'!D75</f>
        <v>640</v>
      </c>
      <c r="D73">
        <f t="shared" si="4"/>
        <v>640</v>
      </c>
      <c r="E73" t="str">
        <f>'Data - IA'!F75&amp;" "</f>
        <v xml:space="preserve">Stem Bolts: N/A ----- </v>
      </c>
      <c r="F73" t="str">
        <f>'Data - IA'!I75</f>
        <v xml:space="preserve">Aerobar Bolts: Top 20mm; Bottom 15mm </v>
      </c>
      <c r="G73" t="str">
        <f t="shared" si="5"/>
        <v xml:space="preserve">Stem Bolts: N/A -----  Aerobar Bolts: Top 20mm; Bottom 15mm </v>
      </c>
    </row>
    <row r="74" spans="2:7" x14ac:dyDescent="0.25">
      <c r="B74" t="str">
        <f>TEXT($B$3,0) &amp;" ----- "&amp;'Data - IA'!B76</f>
        <v xml:space="preserve">Frame: 56 ----- Stem: 31.8 ----- Alloy Aerobar: + 20 + 5 </v>
      </c>
      <c r="C74">
        <f>$D$4+'Data - IA'!D76</f>
        <v>645</v>
      </c>
      <c r="D74">
        <f t="shared" si="4"/>
        <v>645</v>
      </c>
      <c r="E74" t="str">
        <f>'Data - IA'!F76&amp;" "</f>
        <v xml:space="preserve">Stem Bolts: N/A ----- </v>
      </c>
      <c r="F74" t="str">
        <f>'Data - IA'!I76</f>
        <v xml:space="preserve">Aerobar Bolts: Top 25mm; Bottom 15mm </v>
      </c>
      <c r="G74" t="str">
        <f t="shared" si="5"/>
        <v xml:space="preserve">Stem Bolts: N/A -----  Aerobar Bolts: Top 25mm; Bottom 15mm </v>
      </c>
    </row>
    <row r="75" spans="2:7" x14ac:dyDescent="0.25">
      <c r="B75" t="str">
        <f>TEXT($B$3,0) &amp;" ----- "&amp;'Data - IA'!B77</f>
        <v>Frame: 56 ----- Stem: 31.8 ----- Alloy Aerobar: + 20 + bridge</v>
      </c>
      <c r="C75">
        <f>$D$4+'Data - IA'!D77</f>
        <v>645</v>
      </c>
      <c r="D75">
        <f t="shared" si="4"/>
        <v>645</v>
      </c>
      <c r="E75" t="str">
        <f>'Data - IA'!F77&amp;" "</f>
        <v xml:space="preserve">Stem Bolts: N/A ----- </v>
      </c>
      <c r="F75" t="str">
        <f>'Data - IA'!I77</f>
        <v xml:space="preserve">Aerobar Bolts: Top 25mm; Bottom 15mm </v>
      </c>
      <c r="G75" t="str">
        <f t="shared" si="5"/>
        <v xml:space="preserve">Stem Bolts: N/A -----  Aerobar Bolts: Top 25mm; Bottom 15mm </v>
      </c>
    </row>
    <row r="76" spans="2:7" x14ac:dyDescent="0.25">
      <c r="B76" t="str">
        <f>TEXT($B$3,0) &amp;" ----- "&amp;'Data - IA'!B78</f>
        <v>Frame: 56 ----- Stem: 31.8 ----- Alloy Aerobar: + 20 + bridge + 5</v>
      </c>
      <c r="C76">
        <f>$D$4+'Data - IA'!D78</f>
        <v>650</v>
      </c>
      <c r="D76">
        <f t="shared" si="4"/>
        <v>650</v>
      </c>
      <c r="E76" t="str">
        <f>'Data - IA'!F78&amp;" "</f>
        <v xml:space="preserve">Stem Bolts: N/A ----- </v>
      </c>
      <c r="F76" t="str">
        <f>'Data - IA'!I78</f>
        <v xml:space="preserve">Aerobar Bolts: Top 25mm; Bottom 15mm </v>
      </c>
      <c r="G76" t="str">
        <f t="shared" si="5"/>
        <v xml:space="preserve">Stem Bolts: N/A -----  Aerobar Bolts: Top 25mm; Bottom 15mm </v>
      </c>
    </row>
    <row r="77" spans="2:7" x14ac:dyDescent="0.25">
      <c r="B77" t="str">
        <f>TEXT($B$3,0) &amp;" ----- "&amp;'Data - IA'!B79</f>
        <v>Frame: 56 ----- Stem: 31.8 ----- Alloy Aerobar: + 30</v>
      </c>
      <c r="C77">
        <f>$D$4+'Data - IA'!D79</f>
        <v>650</v>
      </c>
      <c r="D77">
        <f t="shared" si="4"/>
        <v>650</v>
      </c>
      <c r="E77" t="str">
        <f>'Data - IA'!F79&amp;" "</f>
        <v xml:space="preserve">Stem Bolts: N/A ----- </v>
      </c>
      <c r="F77" t="str">
        <f>'Data - IA'!I79</f>
        <v xml:space="preserve">Aerobar Bolts: Top 25mm; Bottom 15mm </v>
      </c>
      <c r="G77" t="str">
        <f t="shared" si="5"/>
        <v xml:space="preserve">Stem Bolts: N/A -----  Aerobar Bolts: Top 25mm; Bottom 15mm </v>
      </c>
    </row>
    <row r="78" spans="2:7" x14ac:dyDescent="0.25">
      <c r="B78" t="str">
        <f>TEXT($B$3,0) &amp;" ----- "&amp;'Data - IA'!B80</f>
        <v>Frame: 56 ----- Stem: 31.8 ----- Alloy Aerobar: + 30 + bridge</v>
      </c>
      <c r="C78">
        <f>$D$4+'Data - IA'!D80</f>
        <v>655</v>
      </c>
      <c r="D78">
        <f t="shared" si="4"/>
        <v>655</v>
      </c>
      <c r="E78" t="str">
        <f>'Data - IA'!F80&amp;" "</f>
        <v xml:space="preserve">Stem Bolts: N/A ----- </v>
      </c>
      <c r="F78" t="str">
        <f>'Data - IA'!I80</f>
        <v xml:space="preserve">Aerobar Bolts: Top 30mm; Bottom 15mm </v>
      </c>
      <c r="G78" t="str">
        <f t="shared" si="5"/>
        <v xml:space="preserve">Stem Bolts: N/A -----  Aerobar Bolts: Top 30mm; Bottom 15mm </v>
      </c>
    </row>
    <row r="79" spans="2:7" x14ac:dyDescent="0.25">
      <c r="B79" t="str">
        <f>TEXT($B$3,0) &amp;" ----- "&amp;'Data - IA'!B81</f>
        <v>Frame: 56 ----- Stem: 31.8 ----- Alloy Aerobar: + 30 + bridge + 5</v>
      </c>
      <c r="C79">
        <f>$D$4+'Data - IA'!D81</f>
        <v>660</v>
      </c>
      <c r="D79">
        <f t="shared" si="4"/>
        <v>660</v>
      </c>
      <c r="E79" t="str">
        <f>'Data - IA'!F81&amp;" "</f>
        <v xml:space="preserve">Stem Bolts: N/A ----- </v>
      </c>
      <c r="F79" t="str">
        <f>'Data - IA'!I81</f>
        <v xml:space="preserve">Aerobar Bolts: Top 30mm; Bottom 15mm </v>
      </c>
      <c r="G79" t="str">
        <f t="shared" si="5"/>
        <v xml:space="preserve">Stem Bolts: N/A -----  Aerobar Bolts: Top 30mm; Bottom 15mm </v>
      </c>
    </row>
    <row r="80" spans="2:7" x14ac:dyDescent="0.25">
      <c r="B80" t="str">
        <f>TEXT($B$3,0) &amp;" ----- "&amp;'Data - IA'!B82</f>
        <v>Frame: 56 ----- Stem: 31.8 ----- Alloy Aerobar: + 40 + bridge</v>
      </c>
      <c r="C80">
        <f>$D$4+'Data - IA'!D82</f>
        <v>665</v>
      </c>
      <c r="D80">
        <f t="shared" si="4"/>
        <v>665</v>
      </c>
      <c r="E80" t="str">
        <f>'Data - IA'!F82&amp;" "</f>
        <v xml:space="preserve">Stem Bolts: N/A ----- </v>
      </c>
      <c r="F80" t="str">
        <f>'Data - IA'!I82</f>
        <v xml:space="preserve">Aerobar Bolts: Top 35mm; Bottom 15mm </v>
      </c>
      <c r="G80" t="str">
        <f t="shared" si="5"/>
        <v xml:space="preserve">Stem Bolts: N/A -----  Aerobar Bolts: Top 35mm; Bottom 15mm </v>
      </c>
    </row>
    <row r="81" spans="2:7" x14ac:dyDescent="0.25">
      <c r="B81" t="str">
        <f>TEXT($B$3,0) &amp;" ----- "&amp;'Data - IA'!B83</f>
        <v>Frame: 56 ----- Stem: 31.8 ----- Alloy Aerobar: + 40 + bridge + 5</v>
      </c>
      <c r="C81">
        <f>$D$4+'Data - IA'!D83</f>
        <v>670</v>
      </c>
      <c r="D81">
        <f t="shared" si="4"/>
        <v>670</v>
      </c>
      <c r="E81" t="str">
        <f>'Data - IA'!F83&amp;" "</f>
        <v xml:space="preserve">Stem Bolts: N/A ----- </v>
      </c>
      <c r="F81" t="str">
        <f>'Data - IA'!I83</f>
        <v xml:space="preserve">Aerobar Bolts: Top 35mm; Bottom 15mm </v>
      </c>
      <c r="G81" t="str">
        <f t="shared" si="5"/>
        <v xml:space="preserve">Stem Bolts: N/A -----  Aerobar Bolts: Top 35mm; Bottom 15mm </v>
      </c>
    </row>
    <row r="82" spans="2:7" x14ac:dyDescent="0.25">
      <c r="B82" t="str">
        <f>TEXT($B$3,0) &amp;" ----- "&amp;'Data - IA'!B84</f>
        <v>Frame: 56 ----- Stem: 31.8 ----- Alloy Aerobar: + 40 + bridge + 10</v>
      </c>
      <c r="C82">
        <f>$D$4+'Data - IA'!D84</f>
        <v>675</v>
      </c>
      <c r="D82">
        <f t="shared" si="4"/>
        <v>675</v>
      </c>
      <c r="E82" t="str">
        <f>'Data - IA'!F84&amp;" "</f>
        <v xml:space="preserve">Stem Bolts: N/A ----- </v>
      </c>
      <c r="F82" t="str">
        <f>'Data - IA'!I84</f>
        <v xml:space="preserve">Aerobar Bolts: Top 35mm; Bottom 15mm </v>
      </c>
      <c r="G82" t="str">
        <f t="shared" si="5"/>
        <v xml:space="preserve">Stem Bolts: N/A -----  Aerobar Bolts: Top 35mm; Bottom 15mm </v>
      </c>
    </row>
    <row r="83" spans="2:7" x14ac:dyDescent="0.25">
      <c r="B83" t="str">
        <f>TEXT($B$3,0) &amp;" ----- "&amp;'Data - IA'!B85</f>
        <v>Frame: 56 ----- Stem: 31.8 ----- Alloy Aerobar: + 40 + bridge + 5 + 10</v>
      </c>
      <c r="C83">
        <f>$D$4+'Data - IA'!D85</f>
        <v>680</v>
      </c>
      <c r="D83">
        <f t="shared" si="4"/>
        <v>680</v>
      </c>
      <c r="E83" t="str">
        <f>'Data - IA'!F85&amp;" "</f>
        <v xml:space="preserve">Stem Bolts: N/A ----- </v>
      </c>
      <c r="F83" t="str">
        <f>'Data - IA'!I85</f>
        <v xml:space="preserve">Aerobar Bolts: Top 35mm; Bottom 25mm </v>
      </c>
      <c r="G83" t="str">
        <f t="shared" si="5"/>
        <v xml:space="preserve">Stem Bolts: N/A -----  Aerobar Bolts: Top 35mm; Bottom 25mm </v>
      </c>
    </row>
  </sheetData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6" tint="-0.249977111117893"/>
  </sheetPr>
  <dimension ref="B2:J38"/>
  <sheetViews>
    <sheetView zoomScale="70" zoomScaleNormal="70" workbookViewId="0">
      <selection activeCell="C25" sqref="C25"/>
    </sheetView>
  </sheetViews>
  <sheetFormatPr defaultRowHeight="15" x14ac:dyDescent="0.25"/>
  <cols>
    <col min="2" max="2" width="68.140625" customWidth="1"/>
    <col min="5" max="5" width="20" customWidth="1"/>
    <col min="6" max="6" width="24.85546875" customWidth="1"/>
    <col min="8" max="8" width="20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115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f>'Data - IAx'!C4</f>
        <v>380</v>
      </c>
      <c r="D4">
        <f>'Data - IAx'!D4</f>
        <v>467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425</v>
      </c>
    </row>
    <row r="7" spans="2:10" x14ac:dyDescent="0.25">
      <c r="H7" t="s">
        <v>34</v>
      </c>
      <c r="I7">
        <f>C4+'Data - IA'!$C$57</f>
        <v>470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IAx'!B11</f>
        <v xml:space="preserve">Frame: 48 ----- Stem: Integrated ----- Alloy Aerobar: </v>
      </c>
      <c r="C9">
        <f>$D$4+'Data - IAx'!D11</f>
        <v>561</v>
      </c>
      <c r="D9">
        <f t="shared" ref="D9:D23" si="0">ROUND(C9/5,0)*5</f>
        <v>560</v>
      </c>
      <c r="E9" t="str">
        <f>'Data - IAx'!F11</f>
        <v>Stem Bolts: N/A -----</v>
      </c>
      <c r="F9" t="str">
        <f>'Data - IAx'!I11</f>
        <v xml:space="preserve">Aerobar Bolts: Top 20mm; Bottom N/A </v>
      </c>
      <c r="G9" t="str">
        <f t="shared" ref="G9:G23" si="1">E9&amp;" "&amp;F9</f>
        <v xml:space="preserve">Stem Bolts: N/A ----- Aerobar Bolts: Top 20mm; Bottom N/A </v>
      </c>
    </row>
    <row r="10" spans="2:10" x14ac:dyDescent="0.25">
      <c r="B10" t="str">
        <f>TEXT($B$3,0) &amp;" ----- "&amp;'Data - IAx'!B12</f>
        <v>Frame: 48 ----- Stem: Integrated ----- Alloy Aerobar: + 5</v>
      </c>
      <c r="C10">
        <f>$D$4+'Data - IAx'!D12</f>
        <v>566</v>
      </c>
      <c r="D10">
        <f t="shared" si="0"/>
        <v>565</v>
      </c>
      <c r="E10" t="str">
        <f>'Data - IAx'!F12</f>
        <v>Stem Bolts: N/A -----</v>
      </c>
      <c r="F10" t="str">
        <f>'Data - IAx'!I12</f>
        <v xml:space="preserve">Aerobar Bolts: Top 25mm; Bottom N/A </v>
      </c>
      <c r="G10" t="str">
        <f t="shared" si="1"/>
        <v xml:space="preserve">Stem Bolts: N/A ----- Aerobar Bolts: Top 25mm; Bottom N/A </v>
      </c>
    </row>
    <row r="11" spans="2:10" x14ac:dyDescent="0.25">
      <c r="B11" t="str">
        <f>TEXT($B$3,0) &amp;" ----- "&amp;'Data - IAx'!B13</f>
        <v>Frame: 48 ----- Stem: Integrated ----- Alloy Aerobar: + 10</v>
      </c>
      <c r="C11">
        <f>$D$4+'Data - IAx'!D13</f>
        <v>571</v>
      </c>
      <c r="D11">
        <f t="shared" si="0"/>
        <v>570</v>
      </c>
      <c r="E11" t="str">
        <f>'Data - IAx'!F13</f>
        <v>Stem Bolts: N/A -----</v>
      </c>
      <c r="F11" t="str">
        <f>'Data - IAx'!I13</f>
        <v xml:space="preserve">Aerobar Bolts: Top 30mm; Bottom N/A </v>
      </c>
      <c r="G11" t="str">
        <f t="shared" si="1"/>
        <v xml:space="preserve">Stem Bolts: N/A ----- Aerobar Bolts: Top 30mm; Bottom N/A </v>
      </c>
    </row>
    <row r="12" spans="2:10" x14ac:dyDescent="0.25">
      <c r="B12" t="str">
        <f>TEXT($B$3,0) &amp;" ----- "&amp;'Data - IAx'!B14</f>
        <v>Frame: 48 ----- Stem: Integrated ----- Alloy Aerobar: + 5 + 10</v>
      </c>
      <c r="C12">
        <f>$D$4+'Data - IAx'!D14</f>
        <v>576</v>
      </c>
      <c r="D12">
        <f t="shared" si="0"/>
        <v>575</v>
      </c>
      <c r="E12" t="str">
        <f>'Data - IAx'!F14</f>
        <v>Stem Bolts: N/A -----</v>
      </c>
      <c r="F12" t="str">
        <f>'Data - IAx'!I14</f>
        <v xml:space="preserve">Aerobar Bolts: Top 35mm; Bottom N/A </v>
      </c>
      <c r="G12" t="str">
        <f t="shared" si="1"/>
        <v xml:space="preserve">Stem Bolts: N/A ----- Aerobar Bolts: Top 35mm; Bottom N/A </v>
      </c>
    </row>
    <row r="13" spans="2:10" x14ac:dyDescent="0.25">
      <c r="B13" t="str">
        <f>TEXT($B$3,0) &amp;" ----- "&amp;'Data - IAx'!B15</f>
        <v>Frame: 48 ----- Stem: Integrated ----- Alloy Aerobar: + 20</v>
      </c>
      <c r="C13">
        <f>$D$4+'Data - IAx'!D15</f>
        <v>581</v>
      </c>
      <c r="D13">
        <f t="shared" si="0"/>
        <v>580</v>
      </c>
      <c r="E13" t="str">
        <f>'Data - IAx'!F15</f>
        <v>Stem Bolts: N/A -----</v>
      </c>
      <c r="F13" t="str">
        <f>'Data - IAx'!I15</f>
        <v xml:space="preserve">Aerobar Bolts: Top 20mm; Bottom 15mm </v>
      </c>
      <c r="G13" t="str">
        <f t="shared" si="1"/>
        <v xml:space="preserve">Stem Bolts: N/A ----- Aerobar Bolts: Top 20mm; Bottom 15mm </v>
      </c>
    </row>
    <row r="14" spans="2:10" x14ac:dyDescent="0.25">
      <c r="B14" t="str">
        <f>TEXT($B$3,0) &amp;" ----- "&amp;'Data - IAx'!B16</f>
        <v xml:space="preserve">Frame: 48 ----- Stem: Integrated ----- Alloy Aerobar: + 20 + 5 </v>
      </c>
      <c r="C14">
        <f>$D$4+'Data - IAx'!D16</f>
        <v>586</v>
      </c>
      <c r="D14">
        <f t="shared" si="0"/>
        <v>585</v>
      </c>
      <c r="E14" t="str">
        <f>'Data - IAx'!F16</f>
        <v>Stem Bolts: N/A -----</v>
      </c>
      <c r="F14" t="str">
        <f>'Data - IAx'!I16</f>
        <v xml:space="preserve">Aerobar Bolts: Top 25mm; Bottom 15mm </v>
      </c>
      <c r="G14" t="str">
        <f t="shared" si="1"/>
        <v xml:space="preserve">Stem Bolts: N/A ----- Aerobar Bolts: Top 25mm; Bottom 15mm </v>
      </c>
    </row>
    <row r="15" spans="2:10" x14ac:dyDescent="0.25">
      <c r="B15" t="str">
        <f>TEXT($B$3,0) &amp;" ----- "&amp;'Data - IAx'!B17</f>
        <v>Frame: 48 ----- Stem: Integrated ----- Alloy Aerobar: + 20 + bridge</v>
      </c>
      <c r="C15">
        <f>$D$4+'Data - IAx'!D17</f>
        <v>586</v>
      </c>
      <c r="D15">
        <f t="shared" si="0"/>
        <v>585</v>
      </c>
      <c r="E15" t="str">
        <f>'Data - IAx'!F17</f>
        <v>Stem Bolts: N/A -----</v>
      </c>
      <c r="F15" t="str">
        <f>'Data - IAx'!I17</f>
        <v xml:space="preserve">Aerobar Bolts: Top 25mm; Bottom 15mm </v>
      </c>
      <c r="G15" t="str">
        <f t="shared" si="1"/>
        <v xml:space="preserve">Stem Bolts: N/A ----- Aerobar Bolts: Top 25mm; Bottom 15mm </v>
      </c>
    </row>
    <row r="16" spans="2:10" x14ac:dyDescent="0.25">
      <c r="B16" t="str">
        <f>TEXT($B$3,0) &amp;" ----- "&amp;'Data - IAx'!B18</f>
        <v>Frame: 48 ----- Stem: Integrated ----- Alloy Aerobar: + 20 + bridge + 5</v>
      </c>
      <c r="C16">
        <f>$D$4+'Data - IAx'!D18</f>
        <v>591</v>
      </c>
      <c r="D16">
        <f t="shared" si="0"/>
        <v>590</v>
      </c>
      <c r="E16" t="str">
        <f>'Data - IAx'!F18</f>
        <v>Stem Bolts: N/A -----</v>
      </c>
      <c r="F16" t="str">
        <f>'Data - IAx'!I18</f>
        <v xml:space="preserve">Aerobar Bolts: Top 25mm; Bottom 15mm </v>
      </c>
      <c r="G16" t="str">
        <f t="shared" si="1"/>
        <v xml:space="preserve">Stem Bolts: N/A ----- Aerobar Bolts: Top 25mm; Bottom 15mm </v>
      </c>
    </row>
    <row r="17" spans="2:7" x14ac:dyDescent="0.25">
      <c r="B17" t="str">
        <f>TEXT($B$3,0) &amp;" ----- "&amp;'Data - IAx'!B19</f>
        <v>Frame: 48 ----- Stem: Integrated ----- Alloy Aerobar: + 30</v>
      </c>
      <c r="C17">
        <f>$D$4+'Data - IAx'!D19</f>
        <v>591</v>
      </c>
      <c r="D17">
        <f t="shared" si="0"/>
        <v>590</v>
      </c>
      <c r="E17" t="str">
        <f>'Data - IAx'!F19</f>
        <v>Stem Bolts: N/A -----</v>
      </c>
      <c r="F17" t="str">
        <f>'Data - IAx'!I19</f>
        <v xml:space="preserve">Aerobar Bolts: Top 25mm; Bottom 15mm </v>
      </c>
      <c r="G17" t="str">
        <f t="shared" si="1"/>
        <v xml:space="preserve">Stem Bolts: N/A ----- Aerobar Bolts: Top 25mm; Bottom 15mm </v>
      </c>
    </row>
    <row r="18" spans="2:7" x14ac:dyDescent="0.25">
      <c r="B18" t="str">
        <f>TEXT($B$3,0) &amp;" ----- "&amp;'Data - IAx'!B20</f>
        <v>Frame: 48 ----- Stem: Integrated ----- Alloy Aerobar: + 30 + bridge</v>
      </c>
      <c r="C18">
        <f>$D$4+'Data - IAx'!D20</f>
        <v>596</v>
      </c>
      <c r="D18">
        <f t="shared" si="0"/>
        <v>595</v>
      </c>
      <c r="E18" t="str">
        <f>'Data - IAx'!F20</f>
        <v>Stem Bolts: N/A -----</v>
      </c>
      <c r="F18" t="str">
        <f>'Data - IAx'!I20</f>
        <v xml:space="preserve">Aerobar Bolts: Top 30mm; Bottom 15mm </v>
      </c>
      <c r="G18" t="str">
        <f t="shared" si="1"/>
        <v xml:space="preserve">Stem Bolts: N/A ----- Aerobar Bolts: Top 30mm; Bottom 15mm </v>
      </c>
    </row>
    <row r="19" spans="2:7" x14ac:dyDescent="0.25">
      <c r="B19" t="str">
        <f>TEXT($B$3,0) &amp;" ----- "&amp;'Data - IAx'!B21</f>
        <v>Frame: 48 ----- Stem: Integrated ----- Alloy Aerobar: + 30 + bridge + 5</v>
      </c>
      <c r="C19">
        <f>$D$4+'Data - IAx'!D21</f>
        <v>601</v>
      </c>
      <c r="D19">
        <f t="shared" si="0"/>
        <v>600</v>
      </c>
      <c r="E19" t="str">
        <f>'Data - IAx'!F21</f>
        <v>Stem Bolts: N/A -----</v>
      </c>
      <c r="F19" t="str">
        <f>'Data - IAx'!I21</f>
        <v xml:space="preserve">Aerobar Bolts: Top 30mm; Bottom 15mm </v>
      </c>
      <c r="G19" t="str">
        <f t="shared" si="1"/>
        <v xml:space="preserve">Stem Bolts: N/A ----- Aerobar Bolts: Top 30mm; Bottom 15mm </v>
      </c>
    </row>
    <row r="20" spans="2:7" x14ac:dyDescent="0.25">
      <c r="B20" t="str">
        <f>TEXT($B$3,0) &amp;" ----- "&amp;'Data - IAx'!B22</f>
        <v>Frame: 48 ----- Stem: Integrated ----- Alloy Aerobar: + 40 + bridge</v>
      </c>
      <c r="C20">
        <f>$D$4+'Data - IAx'!D22</f>
        <v>606</v>
      </c>
      <c r="D20">
        <f t="shared" si="0"/>
        <v>605</v>
      </c>
      <c r="E20" t="str">
        <f>'Data - IAx'!F22</f>
        <v>Stem Bolts: N/A -----</v>
      </c>
      <c r="F20" t="str">
        <f>'Data - IAx'!I22</f>
        <v xml:space="preserve">Aerobar Bolts: Top 35mm; Bottom 15mm </v>
      </c>
      <c r="G20" t="str">
        <f t="shared" si="1"/>
        <v xml:space="preserve">Stem Bolts: N/A ----- Aerobar Bolts: Top 35mm; Bottom 15mm </v>
      </c>
    </row>
    <row r="21" spans="2:7" x14ac:dyDescent="0.25">
      <c r="B21" t="str">
        <f>TEXT($B$3,0) &amp;" ----- "&amp;'Data - IAx'!B23</f>
        <v>Frame: 48 ----- Stem: Integrated ----- Alloy Aerobar: + 40 + bridge + 5</v>
      </c>
      <c r="C21">
        <f>$D$4+'Data - IAx'!D23</f>
        <v>611</v>
      </c>
      <c r="D21">
        <f t="shared" si="0"/>
        <v>610</v>
      </c>
      <c r="E21" t="str">
        <f>'Data - IAx'!F23</f>
        <v>Stem Bolts: N/A -----</v>
      </c>
      <c r="F21" t="str">
        <f>'Data - IAx'!I23</f>
        <v xml:space="preserve">Aerobar Bolts: Top 35mm; Bottom 15mm </v>
      </c>
      <c r="G21" t="str">
        <f t="shared" si="1"/>
        <v xml:space="preserve">Stem Bolts: N/A ----- Aerobar Bolts: Top 35mm; Bottom 15mm </v>
      </c>
    </row>
    <row r="22" spans="2:7" x14ac:dyDescent="0.25">
      <c r="B22" t="str">
        <f>TEXT($B$3,0) &amp;" ----- "&amp;'Data - IAx'!B24</f>
        <v>Frame: 48 ----- Stem: Integrated ----- Alloy Aerobar: + 40 + bridge + 10</v>
      </c>
      <c r="C22">
        <f>$D$4+'Data - IAx'!D24</f>
        <v>616</v>
      </c>
      <c r="D22">
        <f t="shared" si="0"/>
        <v>615</v>
      </c>
      <c r="E22" t="str">
        <f>'Data - IAx'!F24</f>
        <v>Stem Bolts: N/A -----</v>
      </c>
      <c r="F22" t="str">
        <f>'Data - IAx'!I24</f>
        <v xml:space="preserve">Aerobar Bolts: Top 35mm; Bottom 15mm </v>
      </c>
      <c r="G22" t="str">
        <f t="shared" si="1"/>
        <v xml:space="preserve">Stem Bolts: N/A ----- Aerobar Bolts: Top 35mm; Bottom 15mm </v>
      </c>
    </row>
    <row r="23" spans="2:7" x14ac:dyDescent="0.25">
      <c r="B23" t="str">
        <f>TEXT($B$3,0) &amp;" ----- "&amp;'Data - IAx'!B25</f>
        <v>Frame: 48 ----- Stem: Integrated ----- Alloy Aerobar: + 40 + bridge + 5 + 10</v>
      </c>
      <c r="C23">
        <f>$D$4+'Data - IAx'!D25</f>
        <v>621</v>
      </c>
      <c r="D23">
        <f t="shared" si="0"/>
        <v>620</v>
      </c>
      <c r="E23" t="str">
        <f>'Data - IAx'!F25</f>
        <v>Stem Bolts: N/A -----</v>
      </c>
      <c r="F23" t="str">
        <f>'Data - IAx'!I25</f>
        <v xml:space="preserve">Aerobar Bolts: Top 35mm; Bottom 25mm </v>
      </c>
      <c r="G23" t="str">
        <f t="shared" si="1"/>
        <v xml:space="preserve">Stem Bolts: N/A ----- Aerobar Bolts: Top 35mm; Bottom 25mm </v>
      </c>
    </row>
    <row r="24" spans="2:7" x14ac:dyDescent="0.25">
      <c r="B24" t="str">
        <f>TEXT($B$3,0) &amp;" ----- "&amp;'Data - IAx'!B26</f>
        <v xml:space="preserve">Frame: 48 ----- Stem: Integrated ----- Carbon Aerobar (optional): </v>
      </c>
      <c r="C24">
        <v>0</v>
      </c>
      <c r="D24">
        <f t="shared" ref="D24:D38" si="2">ROUND(C24/5,0)*5</f>
        <v>0</v>
      </c>
      <c r="E24" t="str">
        <f>'Data - IAx'!F26</f>
        <v>Stem Bolts: N/A -----</v>
      </c>
      <c r="F24" t="str">
        <f>'Data - IAx'!I26</f>
        <v xml:space="preserve">Aerobar Bolts: Top N/A; Bottom N/A </v>
      </c>
      <c r="G24" t="str">
        <f t="shared" ref="G24:G38" si="3">E24&amp;" "&amp;F24</f>
        <v xml:space="preserve">Stem Bolts: N/A ----- Aerobar Bolts: Top N/A; Bottom N/A </v>
      </c>
    </row>
    <row r="25" spans="2:7" x14ac:dyDescent="0.25">
      <c r="B25" t="str">
        <f>TEXT($B$3,0) &amp;" ----- "&amp;'Data - IAx'!B27</f>
        <v>Frame: 48 ----- Stem: Integrated ----- Carbon Aerobar (optional): + 5</v>
      </c>
      <c r="C25">
        <f>$D$4+'Data - IAx'!D27</f>
        <v>554</v>
      </c>
      <c r="D25">
        <f t="shared" si="2"/>
        <v>555</v>
      </c>
      <c r="E25" t="str">
        <f>'Data - IAx'!F27</f>
        <v>Stem Bolts: N/A -----</v>
      </c>
      <c r="F25" t="str">
        <f>'Data - IAx'!I27</f>
        <v xml:space="preserve">Aerobar Bolts: Top 45mm; Bottom N/A </v>
      </c>
      <c r="G25" t="str">
        <f t="shared" si="3"/>
        <v xml:space="preserve">Stem Bolts: N/A ----- Aerobar Bolts: Top 45mm; Bottom N/A </v>
      </c>
    </row>
    <row r="26" spans="2:7" x14ac:dyDescent="0.25">
      <c r="B26" t="str">
        <f>TEXT($B$3,0) &amp;" ----- "&amp;'Data - IAx'!B28</f>
        <v>Frame: 48 ----- Stem: Integrated ----- Carbon Aerobar (optional): + 10</v>
      </c>
      <c r="C26">
        <f>$D$4+'Data - IAx'!D28</f>
        <v>559</v>
      </c>
      <c r="D26">
        <f t="shared" si="2"/>
        <v>560</v>
      </c>
      <c r="E26" t="str">
        <f>'Data - IAx'!F28</f>
        <v>Stem Bolts: N/A -----</v>
      </c>
      <c r="F26" t="str">
        <f>'Data - IAx'!I28</f>
        <v xml:space="preserve">Aerobar Bolts: Top 50mm; Bottom N/A </v>
      </c>
      <c r="G26" t="str">
        <f t="shared" si="3"/>
        <v xml:space="preserve">Stem Bolts: N/A ----- Aerobar Bolts: Top 50mm; Bottom N/A </v>
      </c>
    </row>
    <row r="27" spans="2:7" x14ac:dyDescent="0.25">
      <c r="B27" t="str">
        <f>TEXT($B$3,0) &amp;" ----- "&amp;'Data - IAx'!B29</f>
        <v>Frame: 48 ----- Stem: Integrated ----- Carbon Aerobar (optional): + 5 + 10</v>
      </c>
      <c r="C27">
        <f>$D$4+'Data - IAx'!D29</f>
        <v>564</v>
      </c>
      <c r="D27">
        <f t="shared" si="2"/>
        <v>565</v>
      </c>
      <c r="E27" t="str">
        <f>'Data - IAx'!F29</f>
        <v>Stem Bolts: N/A -----</v>
      </c>
      <c r="F27" t="str">
        <f>'Data - IAx'!I29</f>
        <v xml:space="preserve">Aerobar Bolts: Top 55mm; Bottom N/A </v>
      </c>
      <c r="G27" t="str">
        <f t="shared" si="3"/>
        <v xml:space="preserve">Stem Bolts: N/A ----- Aerobar Bolts: Top 55mm; Bottom N/A </v>
      </c>
    </row>
    <row r="28" spans="2:7" x14ac:dyDescent="0.25">
      <c r="B28" t="str">
        <f>TEXT($B$3,0) &amp;" ----- "&amp;'Data - IAx'!B30</f>
        <v>Frame: 48 ----- Stem: Integrated ----- Carbon Aerobar (optional): + 20</v>
      </c>
      <c r="C28">
        <f>$D$4+'Data - IAx'!D30</f>
        <v>569</v>
      </c>
      <c r="D28">
        <f t="shared" si="2"/>
        <v>570</v>
      </c>
      <c r="E28" t="str">
        <f>'Data - IAx'!F30</f>
        <v>Stem Bolts: N/A -----</v>
      </c>
      <c r="F28" t="str">
        <f>'Data - IAx'!I30</f>
        <v xml:space="preserve">Aerobar Bolts: Top 20mm; Bottom 30mm </v>
      </c>
      <c r="G28" t="str">
        <f t="shared" si="3"/>
        <v xml:space="preserve">Stem Bolts: N/A ----- Aerobar Bolts: Top 20mm; Bottom 30mm </v>
      </c>
    </row>
    <row r="29" spans="2:7" x14ac:dyDescent="0.25">
      <c r="B29" t="str">
        <f>TEXT($B$3,0) &amp;" ----- "&amp;'Data - IAx'!B31</f>
        <v xml:space="preserve">Frame: 48 ----- Stem: Integrated ----- Carbon Aerobar (optional): + 20 + 5 </v>
      </c>
      <c r="C29">
        <f>$D$4+'Data - IAx'!D31</f>
        <v>574</v>
      </c>
      <c r="D29">
        <f t="shared" si="2"/>
        <v>575</v>
      </c>
      <c r="E29" t="str">
        <f>'Data - IAx'!F31</f>
        <v>Stem Bolts: N/A -----</v>
      </c>
      <c r="F29" t="str">
        <f>'Data - IAx'!I31</f>
        <v xml:space="preserve">Aerobar Bolts: Top 25mm; Bottom 30mm </v>
      </c>
      <c r="G29" t="str">
        <f t="shared" si="3"/>
        <v xml:space="preserve">Stem Bolts: N/A ----- Aerobar Bolts: Top 25mm; Bottom 30mm </v>
      </c>
    </row>
    <row r="30" spans="2:7" x14ac:dyDescent="0.25">
      <c r="B30" t="str">
        <f>TEXT($B$3,0) &amp;" ----- "&amp;'Data - IAx'!B32</f>
        <v>Frame: 48 ----- Stem: Integrated ----- Carbon Aerobar (optional): + 20 + bridge</v>
      </c>
      <c r="C30">
        <f>$D$4+'Data - IAx'!D32</f>
        <v>574</v>
      </c>
      <c r="D30">
        <f t="shared" si="2"/>
        <v>575</v>
      </c>
      <c r="E30" t="str">
        <f>'Data - IAx'!F32</f>
        <v>Stem Bolts: N/A -----</v>
      </c>
      <c r="F30" t="str">
        <f>'Data - IAx'!I32</f>
        <v xml:space="preserve">Aerobar Bolts: Top 25mm; Bottom 30mm </v>
      </c>
      <c r="G30" t="str">
        <f t="shared" si="3"/>
        <v xml:space="preserve">Stem Bolts: N/A ----- Aerobar Bolts: Top 25mm; Bottom 30mm </v>
      </c>
    </row>
    <row r="31" spans="2:7" x14ac:dyDescent="0.25">
      <c r="B31" t="str">
        <f>TEXT($B$3,0) &amp;" ----- "&amp;'Data - IAx'!B33</f>
        <v>Frame: 48 ----- Stem: Integrated ----- Carbon Aerobar (optional): + 20 + bridge + 5</v>
      </c>
      <c r="C31">
        <f>$D$4+'Data - IAx'!D33</f>
        <v>579</v>
      </c>
      <c r="D31">
        <f t="shared" si="2"/>
        <v>580</v>
      </c>
      <c r="E31" t="str">
        <f>'Data - IAx'!F33</f>
        <v>Stem Bolts: N/A -----</v>
      </c>
      <c r="F31" t="str">
        <f>'Data - IAx'!I33</f>
        <v xml:space="preserve">Aerobar Bolts: Top 25mm; Bottom 30mm </v>
      </c>
      <c r="G31" t="str">
        <f t="shared" si="3"/>
        <v xml:space="preserve">Stem Bolts: N/A ----- Aerobar Bolts: Top 25mm; Bottom 30mm </v>
      </c>
    </row>
    <row r="32" spans="2:7" x14ac:dyDescent="0.25">
      <c r="B32" t="str">
        <f>TEXT($B$3,0) &amp;" ----- "&amp;'Data - IAx'!B34</f>
        <v>Frame: 48 ----- Stem: Integrated ----- Carbon Aerobar (optional): + 30</v>
      </c>
      <c r="C32">
        <f>$D$4+'Data - IAx'!D34</f>
        <v>579</v>
      </c>
      <c r="D32">
        <f t="shared" si="2"/>
        <v>580</v>
      </c>
      <c r="E32" t="str">
        <f>'Data - IAx'!F34</f>
        <v>Stem Bolts: N/A -----</v>
      </c>
      <c r="F32" t="str">
        <f>'Data - IAx'!I34</f>
        <v xml:space="preserve">Aerobar Bolts: Top 30mm; Bottom 30mm </v>
      </c>
      <c r="G32" t="str">
        <f t="shared" si="3"/>
        <v xml:space="preserve">Stem Bolts: N/A ----- Aerobar Bolts: Top 30mm; Bottom 30mm </v>
      </c>
    </row>
    <row r="33" spans="2:7" x14ac:dyDescent="0.25">
      <c r="B33" t="str">
        <f>TEXT($B$3,0) &amp;" ----- "&amp;'Data - IAx'!B35</f>
        <v>Frame: 48 ----- Stem: Integrated ----- Carbon Aerobar (optional): + 30 + bridge</v>
      </c>
      <c r="C33">
        <f>$D$4+'Data - IAx'!D35</f>
        <v>584</v>
      </c>
      <c r="D33">
        <f t="shared" si="2"/>
        <v>585</v>
      </c>
      <c r="E33" t="str">
        <f>'Data - IAx'!F35</f>
        <v>Stem Bolts: N/A -----</v>
      </c>
      <c r="F33" t="str">
        <f>'Data - IAx'!I35</f>
        <v xml:space="preserve">Aerobar Bolts: Top 30mm; Bottom 30mm </v>
      </c>
      <c r="G33" t="str">
        <f t="shared" si="3"/>
        <v xml:space="preserve">Stem Bolts: N/A ----- Aerobar Bolts: Top 30mm; Bottom 30mm </v>
      </c>
    </row>
    <row r="34" spans="2:7" x14ac:dyDescent="0.25">
      <c r="B34" t="str">
        <f>TEXT($B$3,0) &amp;" ----- "&amp;'Data - IAx'!B36</f>
        <v>Frame: 48 ----- Stem: Integrated ----- Carbon Aerobar (optional): + 30 + bridge + 5</v>
      </c>
      <c r="C34">
        <f>$D$4+'Data - IAx'!D36</f>
        <v>589</v>
      </c>
      <c r="D34">
        <f t="shared" si="2"/>
        <v>590</v>
      </c>
      <c r="E34" t="str">
        <f>'Data - IAx'!F36</f>
        <v>Stem Bolts: N/A -----</v>
      </c>
      <c r="F34" t="str">
        <f>'Data - IAx'!I36</f>
        <v xml:space="preserve">Aerobar Bolts: Top 35mm; Bottom 30mm </v>
      </c>
      <c r="G34" t="str">
        <f t="shared" si="3"/>
        <v xml:space="preserve">Stem Bolts: N/A ----- Aerobar Bolts: Top 35mm; Bottom 30mm </v>
      </c>
    </row>
    <row r="35" spans="2:7" x14ac:dyDescent="0.25">
      <c r="B35" t="str">
        <f>TEXT($B$3,0) &amp;" ----- "&amp;'Data - IAx'!B37</f>
        <v>Frame: 48 ----- Stem: Integrated ----- Carbon Aerobar (optional): + 40 + bridge</v>
      </c>
      <c r="C35">
        <f>$D$4+'Data - IAx'!D37</f>
        <v>594</v>
      </c>
      <c r="D35">
        <f t="shared" si="2"/>
        <v>595</v>
      </c>
      <c r="E35" t="str">
        <f>'Data - IAx'!F37</f>
        <v>Stem Bolts: N/A -----</v>
      </c>
      <c r="F35" t="str">
        <f>'Data - IAx'!I37</f>
        <v xml:space="preserve">Aerobar Bolts: Top 35mm; Bottom 30mm </v>
      </c>
      <c r="G35" t="str">
        <f t="shared" si="3"/>
        <v xml:space="preserve">Stem Bolts: N/A ----- Aerobar Bolts: Top 35mm; Bottom 30mm </v>
      </c>
    </row>
    <row r="36" spans="2:7" x14ac:dyDescent="0.25">
      <c r="B36" t="str">
        <f>TEXT($B$3,0) &amp;" ----- "&amp;'Data - IAx'!B38</f>
        <v>Frame: 48 ----- Stem: Integrated ----- Carbon Aerobar (optional): + 40 + bridge + 5</v>
      </c>
      <c r="C36">
        <f>$D$4+'Data - IAx'!D38</f>
        <v>599</v>
      </c>
      <c r="D36">
        <f t="shared" si="2"/>
        <v>600</v>
      </c>
      <c r="E36" t="str">
        <f>'Data - IAx'!F38</f>
        <v>Stem Bolts: N/A -----</v>
      </c>
      <c r="F36" t="str">
        <f>'Data - IAx'!I38</f>
        <v xml:space="preserve">Aerobar Bolts: Top 35mm; Bottom 30mm </v>
      </c>
      <c r="G36" t="str">
        <f t="shared" si="3"/>
        <v xml:space="preserve">Stem Bolts: N/A ----- Aerobar Bolts: Top 35mm; Bottom 30mm </v>
      </c>
    </row>
    <row r="37" spans="2:7" x14ac:dyDescent="0.25">
      <c r="B37" t="str">
        <f>TEXT($B$3,0) &amp;" ----- "&amp;'Data - IAx'!B39</f>
        <v>Frame: 48 ----- Stem: Integrated ----- Carbon Aerobar (optional): + 40 + bridge + 10</v>
      </c>
      <c r="C37">
        <f>$D$4+'Data - IAx'!D39</f>
        <v>604</v>
      </c>
      <c r="D37">
        <f t="shared" si="2"/>
        <v>605</v>
      </c>
      <c r="E37" t="str">
        <f>'Data - IAx'!F39</f>
        <v>Stem Bolts: N/A -----</v>
      </c>
      <c r="F37" t="str">
        <f>'Data - IAx'!I39</f>
        <v xml:space="preserve">Aerobar Bolts: Top 40mm; Bottom 30mm </v>
      </c>
      <c r="G37" t="str">
        <f t="shared" si="3"/>
        <v xml:space="preserve">Stem Bolts: N/A ----- Aerobar Bolts: Top 40mm; Bottom 30mm </v>
      </c>
    </row>
    <row r="38" spans="2:7" x14ac:dyDescent="0.25">
      <c r="B38" t="str">
        <f>TEXT($B$3,0) &amp;" ----- "&amp;'Data - IAx'!B40</f>
        <v>Frame: 48 ----- Stem: Integrated ----- Carbon Aerobar (optional): + 40 + bridge + 5 + 10</v>
      </c>
      <c r="C38">
        <f>$D$4+'Data - IAx'!D40</f>
        <v>609</v>
      </c>
      <c r="D38">
        <f t="shared" si="2"/>
        <v>610</v>
      </c>
      <c r="E38" t="str">
        <f>'Data - IAx'!F40</f>
        <v>Stem Bolts: N/A -----</v>
      </c>
      <c r="F38" t="str">
        <f>'Data - IAx'!I40</f>
        <v xml:space="preserve">Aerobar Bolts: Top 45mm; Bottom 30mm </v>
      </c>
      <c r="G38" t="str">
        <f t="shared" si="3"/>
        <v xml:space="preserve">Stem Bolts: N/A ----- Aerobar Bolts: Top 45mm; Bottom 30mm 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J83"/>
  <sheetViews>
    <sheetView topLeftCell="A28" zoomScale="70" zoomScaleNormal="70" workbookViewId="0">
      <selection activeCell="AA54" sqref="AA54"/>
    </sheetView>
  </sheetViews>
  <sheetFormatPr defaultRowHeight="15" x14ac:dyDescent="0.25"/>
  <cols>
    <col min="2" max="2" width="68.140625" customWidth="1"/>
    <col min="5" max="6" width="9.140625" hidden="1" customWidth="1"/>
    <col min="8" max="8" width="14.710937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99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v>405</v>
      </c>
      <c r="D4">
        <v>520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450</v>
      </c>
    </row>
    <row r="7" spans="2:10" x14ac:dyDescent="0.25">
      <c r="H7" t="s">
        <v>34</v>
      </c>
      <c r="I7">
        <f>C4+'Data - IA'!$C$57</f>
        <v>495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IA'!B11</f>
        <v>Frame: 54 ----- Stem: Integrated ----- Aerobar:</v>
      </c>
      <c r="D9">
        <f>ROUND(C9/5,0)*5</f>
        <v>0</v>
      </c>
      <c r="E9" t="str">
        <f>'Data - IA'!F11&amp;" "</f>
        <v xml:space="preserve">Stem Bolts: 25mm ----- </v>
      </c>
      <c r="F9" t="str">
        <f>'Data - IA'!I11</f>
        <v xml:space="preserve">Aerobar Bolts: Top N/A; Bottom N/A </v>
      </c>
      <c r="G9" t="str">
        <f>E9&amp;" "&amp;F9</f>
        <v xml:space="preserve">Stem Bolts: 25mm -----  Aerobar Bolts: Top N/A; Bottom N/A </v>
      </c>
    </row>
    <row r="10" spans="2:10" x14ac:dyDescent="0.25">
      <c r="B10" t="str">
        <f>TEXT($B$3,0) &amp;" ----- "&amp;'Data - IA'!B12</f>
        <v>Frame: 54 ----- Stem: Integrated ----- Aerobar:+ 5</v>
      </c>
      <c r="C10">
        <f>$D$4+'Data - IA'!D12</f>
        <v>598</v>
      </c>
      <c r="D10">
        <f>ROUND(C10/5,0)*5</f>
        <v>600</v>
      </c>
      <c r="E10" t="str">
        <f>'Data - IA'!F12&amp;" "</f>
        <v xml:space="preserve">Stem Bolts: 25mm ----- </v>
      </c>
      <c r="F10" t="str">
        <f>'Data - IA'!I12</f>
        <v xml:space="preserve">Aerobar Bolts: Top 45mm; Bottom N/A </v>
      </c>
      <c r="G10" t="str">
        <f t="shared" ref="G10:G38" si="0">E10&amp;" "&amp;F10</f>
        <v xml:space="preserve">Stem Bolts: 25mm -----  Aerobar Bolts: Top 45mm; Bottom N/A </v>
      </c>
    </row>
    <row r="11" spans="2:10" x14ac:dyDescent="0.25">
      <c r="B11" t="str">
        <f>TEXT($B$3,0) &amp;" ----- "&amp;'Data - IA'!B13</f>
        <v>Frame: 54 ----- Stem: Integrated ----- Aerobar:+ 10</v>
      </c>
      <c r="C11">
        <f>$D$4+'Data - IA'!D13</f>
        <v>603</v>
      </c>
      <c r="D11">
        <f t="shared" ref="D11:D53" si="1">ROUND(C11/5,0)*5</f>
        <v>605</v>
      </c>
      <c r="E11" t="str">
        <f>'Data - IA'!F13&amp;" "</f>
        <v xml:space="preserve">Stem Bolts: 25mm ----- </v>
      </c>
      <c r="F11" t="str">
        <f>'Data - IA'!I13</f>
        <v xml:space="preserve">Aerobar Bolts: Top 50mm; Bottom N/A </v>
      </c>
      <c r="G11" t="str">
        <f t="shared" si="0"/>
        <v xml:space="preserve">Stem Bolts: 25mm -----  Aerobar Bolts: Top 50mm; Bottom N/A </v>
      </c>
    </row>
    <row r="12" spans="2:10" x14ac:dyDescent="0.25">
      <c r="B12" t="str">
        <f>TEXT($B$3,0) &amp;" ----- "&amp;'Data - IA'!B14</f>
        <v>Frame: 54 ----- Stem: Integrated ----- Aerobar:+ 5 + 10</v>
      </c>
      <c r="C12">
        <f>$D$4+'Data - IA'!D14</f>
        <v>608</v>
      </c>
      <c r="D12">
        <f t="shared" si="1"/>
        <v>610</v>
      </c>
      <c r="E12" t="str">
        <f>'Data - IA'!F14&amp;" "</f>
        <v xml:space="preserve">Stem Bolts: 25mm ----- </v>
      </c>
      <c r="F12" t="str">
        <f>'Data - IA'!I14</f>
        <v xml:space="preserve">Aerobar Bolts: Top 55mm; Bottom N/A </v>
      </c>
      <c r="G12" t="str">
        <f t="shared" si="0"/>
        <v xml:space="preserve">Stem Bolts: 25mm -----  Aerobar Bolts: Top 55mm; Bottom N/A </v>
      </c>
    </row>
    <row r="13" spans="2:10" x14ac:dyDescent="0.25">
      <c r="B13" t="str">
        <f>TEXT($B$3,0) &amp;" ----- "&amp;'Data - IA'!B15</f>
        <v>Frame: 54 ----- Stem: Integrated ----- Aerobar:+ 20</v>
      </c>
      <c r="C13">
        <f>$D$4+'Data - IA'!D15</f>
        <v>613</v>
      </c>
      <c r="D13">
        <f t="shared" si="1"/>
        <v>615</v>
      </c>
      <c r="E13" t="str">
        <f>'Data - IA'!F15&amp;" "</f>
        <v xml:space="preserve">Stem Bolts: 25mm ----- </v>
      </c>
      <c r="F13" t="str">
        <f>'Data - IA'!I15</f>
        <v xml:space="preserve">Aerobar Bolts: Top 20mm; Bottom 30mm </v>
      </c>
      <c r="G13" t="str">
        <f t="shared" si="0"/>
        <v xml:space="preserve">Stem Bolts: 25mm -----  Aerobar Bolts: Top 20mm; Bottom 30mm </v>
      </c>
    </row>
    <row r="14" spans="2:10" x14ac:dyDescent="0.25">
      <c r="B14" t="str">
        <f>TEXT($B$3,0) &amp;" ----- "&amp;'Data - IA'!B16</f>
        <v>Frame: 54 ----- Stem: Integrated ----- Aerobar:+ 20 + 5</v>
      </c>
      <c r="C14">
        <f>$D$4+'Data - IA'!D16</f>
        <v>618</v>
      </c>
      <c r="D14">
        <f t="shared" si="1"/>
        <v>620</v>
      </c>
      <c r="E14" t="str">
        <f>'Data - IA'!F16&amp;" "</f>
        <v xml:space="preserve">Stem Bolts: 25mm ----- </v>
      </c>
      <c r="F14" t="str">
        <f>'Data - IA'!I16</f>
        <v xml:space="preserve">Aerobar Bolts: Top 25mm; Bottom 30mm </v>
      </c>
      <c r="G14" t="str">
        <f t="shared" si="0"/>
        <v xml:space="preserve">Stem Bolts: 25mm -----  Aerobar Bolts: Top 25mm; Bottom 30mm </v>
      </c>
    </row>
    <row r="15" spans="2:10" x14ac:dyDescent="0.25">
      <c r="B15" t="str">
        <f>TEXT($B$3,0) &amp;" ----- "&amp;'Data - IA'!B17</f>
        <v>Frame: 54 ----- Stem: Integrated ----- Aerobar:+ 20 + bridge</v>
      </c>
      <c r="C15">
        <f>$D$4+'Data - IA'!D17</f>
        <v>618</v>
      </c>
      <c r="D15">
        <f t="shared" si="1"/>
        <v>620</v>
      </c>
      <c r="E15" t="str">
        <f>'Data - IA'!F17&amp;" "</f>
        <v xml:space="preserve">Stem Bolts: 25mm ----- </v>
      </c>
      <c r="F15" t="str">
        <f>'Data - IA'!I17</f>
        <v xml:space="preserve">Aerobar Bolts: Top 25mm; Bottom 30mm </v>
      </c>
      <c r="G15" t="str">
        <f t="shared" si="0"/>
        <v xml:space="preserve">Stem Bolts: 25mm -----  Aerobar Bolts: Top 25mm; Bottom 30mm </v>
      </c>
    </row>
    <row r="16" spans="2:10" x14ac:dyDescent="0.25">
      <c r="B16" t="str">
        <f>TEXT($B$3,0) &amp;" ----- "&amp;'Data - IA'!B18</f>
        <v>Frame: 54 ----- Stem: Integrated ----- Aerobar:+ 30</v>
      </c>
      <c r="C16">
        <f>$D$4+'Data - IA'!D18</f>
        <v>623</v>
      </c>
      <c r="D16">
        <f t="shared" si="1"/>
        <v>625</v>
      </c>
      <c r="E16" t="str">
        <f>'Data - IA'!F18&amp;" "</f>
        <v xml:space="preserve">Stem Bolts: 25mm ----- </v>
      </c>
      <c r="F16" t="str">
        <f>'Data - IA'!I18</f>
        <v xml:space="preserve">Aerobar Bolts: Top 25mm; Bottom 30mm </v>
      </c>
      <c r="G16" t="str">
        <f t="shared" si="0"/>
        <v xml:space="preserve">Stem Bolts: 25mm -----  Aerobar Bolts: Top 25mm; Bottom 30mm </v>
      </c>
    </row>
    <row r="17" spans="2:7" x14ac:dyDescent="0.25">
      <c r="B17" t="str">
        <f>TEXT($B$3,0) &amp;" ----- "&amp;'Data - IA'!B19</f>
        <v>Frame: 54 ----- Stem: Integrated ----- Aerobar:+ 20 + bridge + 5</v>
      </c>
      <c r="C17">
        <f>$D$4+'Data - IA'!D19</f>
        <v>623</v>
      </c>
      <c r="D17">
        <f t="shared" si="1"/>
        <v>625</v>
      </c>
      <c r="E17" t="str">
        <f>'Data - IA'!F19&amp;" "</f>
        <v xml:space="preserve">Stem Bolts: 25mm ----- </v>
      </c>
      <c r="F17" t="str">
        <f>'Data - IA'!I19</f>
        <v xml:space="preserve">Aerobar Bolts: Top 30mm; Bottom 30mm </v>
      </c>
      <c r="G17" t="str">
        <f t="shared" si="0"/>
        <v xml:space="preserve">Stem Bolts: 25mm -----  Aerobar Bolts: Top 30mm; Bottom 30mm </v>
      </c>
    </row>
    <row r="18" spans="2:7" x14ac:dyDescent="0.25">
      <c r="B18" t="str">
        <f>TEXT($B$3,0) &amp;" ----- "&amp;'Data - IA'!B20</f>
        <v>Frame: 54 ----- Stem: Integrated ----- Aerobar:+ 30 + bridge</v>
      </c>
      <c r="C18">
        <f>$D$4+'Data - IA'!D20</f>
        <v>628</v>
      </c>
      <c r="D18">
        <f t="shared" si="1"/>
        <v>630</v>
      </c>
      <c r="E18" t="str">
        <f>'Data - IA'!F20&amp;" "</f>
        <v xml:space="preserve">Stem Bolts: 25mm ----- </v>
      </c>
      <c r="F18" t="str">
        <f>'Data - IA'!I20</f>
        <v xml:space="preserve">Aerobar Bolts: Top 30mm; Bottom 30mm </v>
      </c>
      <c r="G18" t="str">
        <f t="shared" si="0"/>
        <v xml:space="preserve">Stem Bolts: 25mm -----  Aerobar Bolts: Top 30mm; Bottom 30mm </v>
      </c>
    </row>
    <row r="19" spans="2:7" x14ac:dyDescent="0.25">
      <c r="B19" t="str">
        <f>TEXT($B$3,0) &amp;" ----- "&amp;'Data - IA'!B21</f>
        <v>Frame: 54 ----- Stem: Integrated ----- Aerobar:+ 30 + bridge + 5</v>
      </c>
      <c r="C19">
        <f>$D$4+'Data - IA'!D21</f>
        <v>633</v>
      </c>
      <c r="D19">
        <f t="shared" si="1"/>
        <v>635</v>
      </c>
      <c r="E19" t="str">
        <f>'Data - IA'!F21&amp;" "</f>
        <v xml:space="preserve">Stem Bolts: 25mm ----- </v>
      </c>
      <c r="F19" t="str">
        <f>'Data - IA'!I21</f>
        <v xml:space="preserve">Aerobar Bolts: Top 35mm; Bottom 30mm </v>
      </c>
      <c r="G19" t="str">
        <f t="shared" si="0"/>
        <v xml:space="preserve">Stem Bolts: 25mm -----  Aerobar Bolts: Top 35mm; Bottom 30mm </v>
      </c>
    </row>
    <row r="20" spans="2:7" x14ac:dyDescent="0.25">
      <c r="B20" t="str">
        <f>TEXT($B$3,0) &amp;" ----- "&amp;'Data - IA'!B22</f>
        <v>Frame: 54 ----- Stem: Integrated ----- Aerobar:+ 40 + bridge</v>
      </c>
      <c r="C20">
        <f>$D$4+'Data - IA'!D22</f>
        <v>638</v>
      </c>
      <c r="D20">
        <f t="shared" si="1"/>
        <v>640</v>
      </c>
      <c r="E20" t="str">
        <f>'Data - IA'!F22&amp;" "</f>
        <v xml:space="preserve">Stem Bolts: 25mm ----- </v>
      </c>
      <c r="F20" t="str">
        <f>'Data - IA'!I22</f>
        <v xml:space="preserve">Aerobar Bolts: Top 35mm; Bottom 30mm </v>
      </c>
      <c r="G20" t="str">
        <f t="shared" si="0"/>
        <v xml:space="preserve">Stem Bolts: 25mm -----  Aerobar Bolts: Top 35mm; Bottom 30mm </v>
      </c>
    </row>
    <row r="21" spans="2:7" x14ac:dyDescent="0.25">
      <c r="B21" t="str">
        <f>TEXT($B$3,0) &amp;" ----- "&amp;'Data - IA'!B23</f>
        <v>Frame: 54 ----- Stem: Integrated ----- Aerobar:+ 40 + bridge + 5</v>
      </c>
      <c r="C21">
        <f>$D$4+'Data - IA'!D23</f>
        <v>643</v>
      </c>
      <c r="D21">
        <f t="shared" si="1"/>
        <v>645</v>
      </c>
      <c r="E21" t="str">
        <f>'Data - IA'!F23&amp;" "</f>
        <v xml:space="preserve">Stem Bolts: 25mm ----- </v>
      </c>
      <c r="F21" t="str">
        <f>'Data - IA'!I23</f>
        <v xml:space="preserve">Aerobar Bolts: Top 35mm; Bottom 30mm </v>
      </c>
      <c r="G21" t="str">
        <f t="shared" si="0"/>
        <v xml:space="preserve">Stem Bolts: 25mm -----  Aerobar Bolts: Top 35mm; Bottom 30mm </v>
      </c>
    </row>
    <row r="22" spans="2:7" x14ac:dyDescent="0.25">
      <c r="B22" t="str">
        <f>TEXT($B$3,0) &amp;" ----- "&amp;'Data - IA'!B24</f>
        <v>Frame: 54 ----- Stem: Integrated ----- Aerobar:+ 40 + bridge + 10</v>
      </c>
      <c r="C22">
        <f>$D$4+'Data - IA'!D24</f>
        <v>648</v>
      </c>
      <c r="D22">
        <f t="shared" si="1"/>
        <v>650</v>
      </c>
      <c r="E22" t="str">
        <f>'Data - IA'!F24&amp;" "</f>
        <v xml:space="preserve">Stem Bolts: 25mm ----- </v>
      </c>
      <c r="F22" t="str">
        <f>'Data - IA'!I24</f>
        <v xml:space="preserve">Aerobar Bolts: Top 40mm; Bottom 30mm </v>
      </c>
      <c r="G22" t="str">
        <f t="shared" si="0"/>
        <v xml:space="preserve">Stem Bolts: 25mm -----  Aerobar Bolts: Top 40mm; Bottom 30mm </v>
      </c>
    </row>
    <row r="23" spans="2:7" x14ac:dyDescent="0.25">
      <c r="B23" t="str">
        <f>TEXT($B$3,0) &amp;" ----- "&amp;'Data - IA'!B25</f>
        <v>Frame: 54 ----- Stem: Integrated ----- Aerobar:+ 40 + bridge + 10 + 5</v>
      </c>
      <c r="C23">
        <f>$D$4+'Data - IA'!D25</f>
        <v>653</v>
      </c>
      <c r="D23">
        <f t="shared" si="1"/>
        <v>655</v>
      </c>
      <c r="E23" t="str">
        <f>'Data - IA'!F25&amp;" "</f>
        <v xml:space="preserve">Stem Bolts: 25mm ----- </v>
      </c>
      <c r="F23" t="str">
        <f>'Data - IA'!I25</f>
        <v xml:space="preserve">Aerobar Bolts: Top 45mm; Bottom 30mm </v>
      </c>
      <c r="G23" t="str">
        <f t="shared" si="0"/>
        <v xml:space="preserve">Stem Bolts: 25mm -----  Aerobar Bolts: Top 45mm; Bottom 30mm </v>
      </c>
    </row>
    <row r="24" spans="2:7" x14ac:dyDescent="0.25">
      <c r="B24" t="str">
        <f>TEXT($B$3,0) &amp;" ----- "&amp;'Data - IA'!B26</f>
        <v xml:space="preserve">Frame: 54 ----- Stem: Integrated w/15 ----- Aerobar: </v>
      </c>
      <c r="D24">
        <f t="shared" si="1"/>
        <v>0</v>
      </c>
      <c r="E24" t="str">
        <f>'Data - IA'!F26&amp;" "</f>
        <v xml:space="preserve">Stem Bolts: 40mm ----- </v>
      </c>
      <c r="F24" t="str">
        <f>'Data - IA'!I26</f>
        <v xml:space="preserve">Aerobar Bolts: Top N/A; Bottom N/A </v>
      </c>
      <c r="G24" t="str">
        <f t="shared" si="0"/>
        <v xml:space="preserve">Stem Bolts: 40mm -----  Aerobar Bolts: Top N/A; Bottom N/A </v>
      </c>
    </row>
    <row r="25" spans="2:7" x14ac:dyDescent="0.25">
      <c r="B25" t="str">
        <f>TEXT($B$3,0) &amp;" ----- "&amp;'Data - IA'!B27</f>
        <v>Frame: 54 ----- Stem: Integrated w/15 ----- Aerobar: + 5</v>
      </c>
      <c r="C25">
        <f>$D$4+'Data - IA'!D27</f>
        <v>613</v>
      </c>
      <c r="D25">
        <f t="shared" si="1"/>
        <v>615</v>
      </c>
      <c r="E25" t="str">
        <f>'Data - IA'!F27&amp;" "</f>
        <v xml:space="preserve">Stem Bolts: 40mm ----- </v>
      </c>
      <c r="F25" t="str">
        <f>'Data - IA'!I27</f>
        <v xml:space="preserve">Aerobar Bolts: Top 45mm; Bottom N/A </v>
      </c>
      <c r="G25" t="str">
        <f t="shared" si="0"/>
        <v xml:space="preserve">Stem Bolts: 40mm -----  Aerobar Bolts: Top 45mm; Bottom N/A </v>
      </c>
    </row>
    <row r="26" spans="2:7" x14ac:dyDescent="0.25">
      <c r="B26" t="str">
        <f>TEXT($B$3,0) &amp;" ----- "&amp;'Data - IA'!B28</f>
        <v>Frame: 54 ----- Stem: Integrated w/15 ----- Aerobar: + 10</v>
      </c>
      <c r="C26">
        <f>$D$4+'Data - IA'!D28</f>
        <v>618</v>
      </c>
      <c r="D26">
        <f t="shared" si="1"/>
        <v>620</v>
      </c>
      <c r="E26" t="str">
        <f>'Data - IA'!F28&amp;" "</f>
        <v xml:space="preserve">Stem Bolts: 40mm ----- </v>
      </c>
      <c r="F26" t="str">
        <f>'Data - IA'!I28</f>
        <v xml:space="preserve">Aerobar Bolts: Top 50mm; Bottom N/A </v>
      </c>
      <c r="G26" t="str">
        <f t="shared" si="0"/>
        <v xml:space="preserve">Stem Bolts: 40mm -----  Aerobar Bolts: Top 50mm; Bottom N/A </v>
      </c>
    </row>
    <row r="27" spans="2:7" x14ac:dyDescent="0.25">
      <c r="B27" t="str">
        <f>TEXT($B$3,0) &amp;" ----- "&amp;'Data - IA'!B29</f>
        <v>Frame: 54 ----- Stem: Integrated w/15 ----- Aerobar: + 5 + 10</v>
      </c>
      <c r="C27">
        <f>$D$4+'Data - IA'!D29</f>
        <v>623</v>
      </c>
      <c r="D27">
        <f t="shared" si="1"/>
        <v>625</v>
      </c>
      <c r="E27" t="str">
        <f>'Data - IA'!F29&amp;" "</f>
        <v xml:space="preserve">Stem Bolts: 40mm ----- </v>
      </c>
      <c r="F27" t="str">
        <f>'Data - IA'!I29</f>
        <v xml:space="preserve">Aerobar Bolts: Top 55mm; Bottom N/A </v>
      </c>
      <c r="G27" t="str">
        <f t="shared" si="0"/>
        <v xml:space="preserve">Stem Bolts: 40mm -----  Aerobar Bolts: Top 55mm; Bottom N/A </v>
      </c>
    </row>
    <row r="28" spans="2:7" x14ac:dyDescent="0.25">
      <c r="B28" t="str">
        <f>TEXT($B$3,0) &amp;" ----- "&amp;'Data - IA'!B30</f>
        <v>Frame: 54 ----- Stem: Integrated w/15 ----- Aerobar: + 20</v>
      </c>
      <c r="C28">
        <f>$D$4+'Data - IA'!D30</f>
        <v>628</v>
      </c>
      <c r="D28">
        <f t="shared" si="1"/>
        <v>630</v>
      </c>
      <c r="E28" t="str">
        <f>'Data - IA'!F30&amp;" "</f>
        <v xml:space="preserve">Stem Bolts: 40mm ----- </v>
      </c>
      <c r="F28" t="str">
        <f>'Data - IA'!I30</f>
        <v xml:space="preserve">Aerobar Bolts: Top 20mm; Bottom 30mm </v>
      </c>
      <c r="G28" t="str">
        <f t="shared" si="0"/>
        <v xml:space="preserve">Stem Bolts: 40mm -----  Aerobar Bolts: Top 20mm; Bottom 30mm </v>
      </c>
    </row>
    <row r="29" spans="2:7" x14ac:dyDescent="0.25">
      <c r="B29" t="str">
        <f>TEXT($B$3,0) &amp;" ----- "&amp;'Data - IA'!B31</f>
        <v>Frame: 54 ----- Stem: Integrated w/15 ----- Aerobar: + 20 + 5</v>
      </c>
      <c r="C29">
        <f>$D$4+'Data - IA'!D31</f>
        <v>633</v>
      </c>
      <c r="D29">
        <f t="shared" si="1"/>
        <v>635</v>
      </c>
      <c r="E29" t="str">
        <f>'Data - IA'!F31&amp;" "</f>
        <v xml:space="preserve">Stem Bolts: 40mm ----- </v>
      </c>
      <c r="F29" t="str">
        <f>'Data - IA'!I31</f>
        <v xml:space="preserve">Aerobar Bolts: Top 25mm; Bottom 30mm </v>
      </c>
      <c r="G29" t="str">
        <f t="shared" si="0"/>
        <v xml:space="preserve">Stem Bolts: 40mm -----  Aerobar Bolts: Top 25mm; Bottom 30mm </v>
      </c>
    </row>
    <row r="30" spans="2:7" x14ac:dyDescent="0.25">
      <c r="B30" t="str">
        <f>TEXT($B$3,0) &amp;" ----- "&amp;'Data - IA'!B32</f>
        <v>Frame: 54 ----- Stem: Integrated w/15 ----- Aerobar: + 20 + bridge</v>
      </c>
      <c r="C30">
        <f>$D$4+'Data - IA'!D32</f>
        <v>633</v>
      </c>
      <c r="D30">
        <f t="shared" si="1"/>
        <v>635</v>
      </c>
      <c r="E30" t="str">
        <f>'Data - IA'!F32&amp;" "</f>
        <v xml:space="preserve">Stem Bolts: 40mm ----- </v>
      </c>
      <c r="F30" t="str">
        <f>'Data - IA'!I32</f>
        <v xml:space="preserve">Aerobar Bolts: Top 25mm; Bottom 30mm </v>
      </c>
      <c r="G30" t="str">
        <f t="shared" si="0"/>
        <v xml:space="preserve">Stem Bolts: 40mm -----  Aerobar Bolts: Top 25mm; Bottom 30mm </v>
      </c>
    </row>
    <row r="31" spans="2:7" x14ac:dyDescent="0.25">
      <c r="B31" t="str">
        <f>TEXT($B$3,0) &amp;" ----- "&amp;'Data - IA'!B33</f>
        <v>Frame: 54 ----- Stem: Integrated w/15 ----- Aerobar: + 30</v>
      </c>
      <c r="C31">
        <f>$D$4+'Data - IA'!D33</f>
        <v>638</v>
      </c>
      <c r="D31">
        <f t="shared" si="1"/>
        <v>640</v>
      </c>
      <c r="E31" t="str">
        <f>'Data - IA'!F33&amp;" "</f>
        <v xml:space="preserve">Stem Bolts: 40mm ----- </v>
      </c>
      <c r="F31" t="str">
        <f>'Data - IA'!I33</f>
        <v xml:space="preserve">Aerobar Bolts: Top 25mm; Bottom 30mm </v>
      </c>
      <c r="G31" t="str">
        <f t="shared" si="0"/>
        <v xml:space="preserve">Stem Bolts: 40mm -----  Aerobar Bolts: Top 25mm; Bottom 30mm </v>
      </c>
    </row>
    <row r="32" spans="2:7" x14ac:dyDescent="0.25">
      <c r="B32" t="str">
        <f>TEXT($B$3,0) &amp;" ----- "&amp;'Data - IA'!B34</f>
        <v>Frame: 54 ----- Stem: Integrated w/15 ----- Aerobar: + 20 + bridge + 5</v>
      </c>
      <c r="C32">
        <f>$D$4+'Data - IA'!D34</f>
        <v>638</v>
      </c>
      <c r="D32">
        <f t="shared" si="1"/>
        <v>640</v>
      </c>
      <c r="E32" t="str">
        <f>'Data - IA'!F34&amp;" "</f>
        <v xml:space="preserve">Stem Bolts: 40mm ----- </v>
      </c>
      <c r="F32" t="str">
        <f>'Data - IA'!I34</f>
        <v xml:space="preserve">Aerobar Bolts: Top 30mm; Bottom 30mm </v>
      </c>
      <c r="G32" t="str">
        <f t="shared" si="0"/>
        <v xml:space="preserve">Stem Bolts: 40mm -----  Aerobar Bolts: Top 30mm; Bottom 30mm </v>
      </c>
    </row>
    <row r="33" spans="2:7" x14ac:dyDescent="0.25">
      <c r="B33" t="str">
        <f>TEXT($B$3,0) &amp;" ----- "&amp;'Data - IA'!B35</f>
        <v>Frame: 54 ----- Stem: Integrated w/15 ----- Aerobar: + 30 + bridge</v>
      </c>
      <c r="C33">
        <f>$D$4+'Data - IA'!D35</f>
        <v>643</v>
      </c>
      <c r="D33">
        <f t="shared" si="1"/>
        <v>645</v>
      </c>
      <c r="E33" t="str">
        <f>'Data - IA'!F35&amp;" "</f>
        <v xml:space="preserve">Stem Bolts: 40mm ----- </v>
      </c>
      <c r="F33" t="str">
        <f>'Data - IA'!I35</f>
        <v xml:space="preserve">Aerobar Bolts: Top 30mm; Bottom 30mm </v>
      </c>
      <c r="G33" t="str">
        <f t="shared" si="0"/>
        <v xml:space="preserve">Stem Bolts: 40mm -----  Aerobar Bolts: Top 30mm; Bottom 30mm </v>
      </c>
    </row>
    <row r="34" spans="2:7" x14ac:dyDescent="0.25">
      <c r="B34" t="str">
        <f>TEXT($B$3,0) &amp;" ----- "&amp;'Data - IA'!B36</f>
        <v>Frame: 54 ----- Stem: Integrated w/15 ----- Aerobar: + 30 + bridge + 5</v>
      </c>
      <c r="C34">
        <f>$D$4+'Data - IA'!D36</f>
        <v>648</v>
      </c>
      <c r="D34">
        <f t="shared" si="1"/>
        <v>650</v>
      </c>
      <c r="E34" t="str">
        <f>'Data - IA'!F36&amp;" "</f>
        <v xml:space="preserve">Stem Bolts: 40mm ----- </v>
      </c>
      <c r="F34" t="str">
        <f>'Data - IA'!I36</f>
        <v xml:space="preserve">Aerobar Bolts: Top 35mm; Bottom 30mm </v>
      </c>
      <c r="G34" t="str">
        <f t="shared" si="0"/>
        <v xml:space="preserve">Stem Bolts: 40mm -----  Aerobar Bolts: Top 35mm; Bottom 30mm </v>
      </c>
    </row>
    <row r="35" spans="2:7" x14ac:dyDescent="0.25">
      <c r="B35" t="str">
        <f>TEXT($B$3,0) &amp;" ----- "&amp;'Data - IA'!B37</f>
        <v>Frame: 54 ----- Stem: Integrated w/15 ----- Aerobar: + 40 + bridge</v>
      </c>
      <c r="C35">
        <f>$D$4+'Data - IA'!D37</f>
        <v>653</v>
      </c>
      <c r="D35">
        <f t="shared" si="1"/>
        <v>655</v>
      </c>
      <c r="E35" t="str">
        <f>'Data - IA'!F37&amp;" "</f>
        <v xml:space="preserve">Stem Bolts: 40mm ----- </v>
      </c>
      <c r="F35" t="str">
        <f>'Data - IA'!I37</f>
        <v xml:space="preserve">Aerobar Bolts: Top 35mm; Bottom 30mm </v>
      </c>
      <c r="G35" t="str">
        <f t="shared" si="0"/>
        <v xml:space="preserve">Stem Bolts: 40mm -----  Aerobar Bolts: Top 35mm; Bottom 30mm </v>
      </c>
    </row>
    <row r="36" spans="2:7" x14ac:dyDescent="0.25">
      <c r="B36" t="str">
        <f>TEXT($B$3,0) &amp;" ----- "&amp;'Data - IA'!B38</f>
        <v>Frame: 54 ----- Stem: Integrated w/15 ----- Aerobar: + 40 + bridge + 5</v>
      </c>
      <c r="C36">
        <f>$D$4+'Data - IA'!D38</f>
        <v>658</v>
      </c>
      <c r="D36">
        <f t="shared" si="1"/>
        <v>660</v>
      </c>
      <c r="E36" t="str">
        <f>'Data - IA'!F38&amp;" "</f>
        <v xml:space="preserve">Stem Bolts: 40mm ----- </v>
      </c>
      <c r="F36" t="str">
        <f>'Data - IA'!I38</f>
        <v xml:space="preserve">Aerobar Bolts: Top 35mm; Bottom 30mm </v>
      </c>
      <c r="G36" t="str">
        <f t="shared" si="0"/>
        <v xml:space="preserve">Stem Bolts: 40mm -----  Aerobar Bolts: Top 35mm; Bottom 30mm </v>
      </c>
    </row>
    <row r="37" spans="2:7" x14ac:dyDescent="0.25">
      <c r="B37" t="str">
        <f>TEXT($B$3,0) &amp;" ----- "&amp;'Data - IA'!B39</f>
        <v>Frame: 54 ----- Stem: Integrated w/15 ----- Aerobar: + 40 + bridge + 10</v>
      </c>
      <c r="C37">
        <f>$D$4+'Data - IA'!D39</f>
        <v>663</v>
      </c>
      <c r="D37">
        <f t="shared" si="1"/>
        <v>665</v>
      </c>
      <c r="E37" t="str">
        <f>'Data - IA'!F39&amp;" "</f>
        <v xml:space="preserve">Stem Bolts: 40mm ----- </v>
      </c>
      <c r="F37" t="str">
        <f>'Data - IA'!I39</f>
        <v xml:space="preserve">Aerobar Bolts: Top 40mm; Bottom 30mm </v>
      </c>
      <c r="G37" t="str">
        <f t="shared" si="0"/>
        <v xml:space="preserve">Stem Bolts: 40mm -----  Aerobar Bolts: Top 40mm; Bottom 30mm </v>
      </c>
    </row>
    <row r="38" spans="2:7" x14ac:dyDescent="0.25">
      <c r="B38" t="str">
        <f>TEXT($B$3,0) &amp;" ----- "&amp;'Data - IA'!B40</f>
        <v>Frame: 54 ----- Stem: Integrated w/15 ----- Aerobar: + 40 + bridge + 10 + 5</v>
      </c>
      <c r="C38">
        <f>$D$4+'Data - IA'!D40</f>
        <v>668</v>
      </c>
      <c r="D38">
        <f t="shared" si="1"/>
        <v>670</v>
      </c>
      <c r="E38" t="str">
        <f>'Data - IA'!F40&amp;" "</f>
        <v xml:space="preserve">Stem Bolts: 40mm ----- </v>
      </c>
      <c r="F38" t="str">
        <f>'Data - IA'!I40</f>
        <v xml:space="preserve">Aerobar Bolts: Top 45mm; Bottom 30mm </v>
      </c>
      <c r="G38" t="str">
        <f t="shared" si="0"/>
        <v xml:space="preserve">Stem Bolts: 40mm -----  Aerobar Bolts: Top 45mm; Bottom 30mm </v>
      </c>
    </row>
    <row r="39" spans="2:7" x14ac:dyDescent="0.25">
      <c r="B39" t="str">
        <f>TEXT($B$3,0) &amp;" ----- "&amp;'Data - IA'!B41</f>
        <v xml:space="preserve">Frame: 54 ----- Stem: Integrated w/30 ----- Aerobar: </v>
      </c>
      <c r="D39">
        <f t="shared" si="1"/>
        <v>0</v>
      </c>
      <c r="E39" t="str">
        <f>'Data - IA'!F41&amp;" "</f>
        <v xml:space="preserve">Stem Bolts: 55mm ----- </v>
      </c>
      <c r="F39" t="str">
        <f>'Data - IA'!I41</f>
        <v xml:space="preserve">Aerobar Bolts: Top N/A; Bottom N/A </v>
      </c>
      <c r="G39" t="str">
        <f>E39&amp;" "&amp;F39</f>
        <v xml:space="preserve">Stem Bolts: 55mm -----  Aerobar Bolts: Top N/A; Bottom N/A </v>
      </c>
    </row>
    <row r="40" spans="2:7" x14ac:dyDescent="0.25">
      <c r="B40" t="str">
        <f>TEXT($B$3,0) &amp;" ----- "&amp;'Data - IA'!B42</f>
        <v>Frame: 54 ----- Stem: Integrated w/30 ----- Aerobar: + 5</v>
      </c>
      <c r="C40">
        <f>$D$4+'Data - IA'!D42</f>
        <v>628</v>
      </c>
      <c r="D40">
        <f t="shared" si="1"/>
        <v>630</v>
      </c>
      <c r="E40" t="str">
        <f>'Data - IA'!F42&amp;" "</f>
        <v xml:space="preserve">Stem Bolts: 55mm ----- </v>
      </c>
      <c r="F40" t="str">
        <f>'Data - IA'!I42</f>
        <v xml:space="preserve">Aerobar Bolts: Top 45mm; Bottom N/A </v>
      </c>
      <c r="G40" t="str">
        <f t="shared" ref="G40:G57" si="2">E40&amp;" "&amp;F40</f>
        <v xml:space="preserve">Stem Bolts: 55mm -----  Aerobar Bolts: Top 45mm; Bottom N/A </v>
      </c>
    </row>
    <row r="41" spans="2:7" x14ac:dyDescent="0.25">
      <c r="B41" t="str">
        <f>TEXT($B$3,0) &amp;" ----- "&amp;'Data - IA'!B43</f>
        <v>Frame: 54 ----- Stem: Integrated w/30 ----- Aerobar: + 10</v>
      </c>
      <c r="C41">
        <f>$D$4+'Data - IA'!D43</f>
        <v>633</v>
      </c>
      <c r="D41">
        <f t="shared" si="1"/>
        <v>635</v>
      </c>
      <c r="E41" t="str">
        <f>'Data - IA'!F43&amp;" "</f>
        <v xml:space="preserve">Stem Bolts: 55mm ----- </v>
      </c>
      <c r="F41" t="str">
        <f>'Data - IA'!I43</f>
        <v xml:space="preserve">Aerobar Bolts: Top 50mm; Bottom N/A </v>
      </c>
      <c r="G41" t="str">
        <f t="shared" si="2"/>
        <v xml:space="preserve">Stem Bolts: 55mm -----  Aerobar Bolts: Top 50mm; Bottom N/A </v>
      </c>
    </row>
    <row r="42" spans="2:7" x14ac:dyDescent="0.25">
      <c r="B42" t="str">
        <f>TEXT($B$3,0) &amp;" ----- "&amp;'Data - IA'!B44</f>
        <v>Frame: 54 ----- Stem: Integrated w/30 ----- Aerobar: + 5 + 10</v>
      </c>
      <c r="C42">
        <f>$D$4+'Data - IA'!D44</f>
        <v>638</v>
      </c>
      <c r="D42">
        <f t="shared" si="1"/>
        <v>640</v>
      </c>
      <c r="E42" t="str">
        <f>'Data - IA'!F44&amp;" "</f>
        <v xml:space="preserve">Stem Bolts: 55mm ----- </v>
      </c>
      <c r="F42" t="str">
        <f>'Data - IA'!I44</f>
        <v xml:space="preserve">Aerobar Bolts: Top 55mm; Bottom N/A </v>
      </c>
      <c r="G42" t="str">
        <f t="shared" si="2"/>
        <v xml:space="preserve">Stem Bolts: 55mm -----  Aerobar Bolts: Top 55mm; Bottom N/A </v>
      </c>
    </row>
    <row r="43" spans="2:7" x14ac:dyDescent="0.25">
      <c r="B43" t="str">
        <f>TEXT($B$3,0) &amp;" ----- "&amp;'Data - IA'!B45</f>
        <v>Frame: 54 ----- Stem: Integrated w/30 ----- Aerobar: + 20</v>
      </c>
      <c r="C43">
        <f>$D$4+'Data - IA'!D45</f>
        <v>643</v>
      </c>
      <c r="D43">
        <f t="shared" si="1"/>
        <v>645</v>
      </c>
      <c r="E43" t="str">
        <f>'Data - IA'!F45&amp;" "</f>
        <v xml:space="preserve">Stem Bolts: 55mm ----- </v>
      </c>
      <c r="F43" t="str">
        <f>'Data - IA'!I45</f>
        <v xml:space="preserve">Aerobar Bolts: Top 20mm; Bottom 30mm </v>
      </c>
      <c r="G43" t="str">
        <f t="shared" si="2"/>
        <v xml:space="preserve">Stem Bolts: 55mm -----  Aerobar Bolts: Top 20mm; Bottom 30mm </v>
      </c>
    </row>
    <row r="44" spans="2:7" x14ac:dyDescent="0.25">
      <c r="B44" t="str">
        <f>TEXT($B$3,0) &amp;" ----- "&amp;'Data - IA'!B46</f>
        <v>Frame: 54 ----- Stem: Integrated w/30 ----- Aerobar: + 20 + 5</v>
      </c>
      <c r="C44">
        <f>$D$4+'Data - IA'!D46</f>
        <v>648</v>
      </c>
      <c r="D44">
        <f t="shared" si="1"/>
        <v>650</v>
      </c>
      <c r="E44" t="str">
        <f>'Data - IA'!F46&amp;" "</f>
        <v xml:space="preserve">Stem Bolts: 55mm ----- </v>
      </c>
      <c r="F44" t="str">
        <f>'Data - IA'!I46</f>
        <v xml:space="preserve">Aerobar Bolts: Top 25mm; Bottom 30mm </v>
      </c>
      <c r="G44" t="str">
        <f t="shared" si="2"/>
        <v xml:space="preserve">Stem Bolts: 55mm -----  Aerobar Bolts: Top 25mm; Bottom 30mm </v>
      </c>
    </row>
    <row r="45" spans="2:7" x14ac:dyDescent="0.25">
      <c r="B45" t="str">
        <f>TEXT($B$3,0) &amp;" ----- "&amp;'Data - IA'!B47</f>
        <v>Frame: 54 ----- Stem: Integrated w/30 ----- Aerobar: + 20 + bridge</v>
      </c>
      <c r="C45">
        <f>$D$4+'Data - IA'!D47</f>
        <v>648</v>
      </c>
      <c r="D45">
        <f t="shared" si="1"/>
        <v>650</v>
      </c>
      <c r="E45" t="str">
        <f>'Data - IA'!F47&amp;" "</f>
        <v xml:space="preserve">Stem Bolts: 55mm ----- </v>
      </c>
      <c r="F45" t="str">
        <f>'Data - IA'!I47</f>
        <v xml:space="preserve">Aerobar Bolts: Top 25mm; Bottom 30mm </v>
      </c>
      <c r="G45" t="str">
        <f t="shared" si="2"/>
        <v xml:space="preserve">Stem Bolts: 55mm -----  Aerobar Bolts: Top 25mm; Bottom 30mm </v>
      </c>
    </row>
    <row r="46" spans="2:7" x14ac:dyDescent="0.25">
      <c r="B46" t="str">
        <f>TEXT($B$3,0) &amp;" ----- "&amp;'Data - IA'!B48</f>
        <v>Frame: 54 ----- Stem: Integrated w/30 ----- Aerobar: + 30</v>
      </c>
      <c r="C46">
        <f>$D$4+'Data - IA'!D48</f>
        <v>653</v>
      </c>
      <c r="D46">
        <f t="shared" si="1"/>
        <v>655</v>
      </c>
      <c r="E46" t="str">
        <f>'Data - IA'!F48&amp;" "</f>
        <v xml:space="preserve">Stem Bolts: 55mm ----- </v>
      </c>
      <c r="F46" t="str">
        <f>'Data - IA'!I48</f>
        <v xml:space="preserve">Aerobar Bolts: Top 25mm; Bottom 30mm </v>
      </c>
      <c r="G46" t="str">
        <f t="shared" si="2"/>
        <v xml:space="preserve">Stem Bolts: 55mm -----  Aerobar Bolts: Top 25mm; Bottom 30mm </v>
      </c>
    </row>
    <row r="47" spans="2:7" x14ac:dyDescent="0.25">
      <c r="B47" t="str">
        <f>TEXT($B$3,0) &amp;" ----- "&amp;'Data - IA'!B49</f>
        <v>Frame: 54 ----- Stem: Integrated w/30 ----- Aerobar: + 20 + bridge + 5</v>
      </c>
      <c r="C47">
        <f>$D$4+'Data - IA'!D49</f>
        <v>653</v>
      </c>
      <c r="D47">
        <f t="shared" si="1"/>
        <v>655</v>
      </c>
      <c r="E47" t="str">
        <f>'Data - IA'!F49&amp;" "</f>
        <v xml:space="preserve">Stem Bolts: 55mm ----- </v>
      </c>
      <c r="F47" t="str">
        <f>'Data - IA'!I49</f>
        <v xml:space="preserve">Aerobar Bolts: Top 30mm; Bottom 30mm </v>
      </c>
      <c r="G47" t="str">
        <f t="shared" si="2"/>
        <v xml:space="preserve">Stem Bolts: 55mm -----  Aerobar Bolts: Top 30mm; Bottom 30mm </v>
      </c>
    </row>
    <row r="48" spans="2:7" x14ac:dyDescent="0.25">
      <c r="B48" t="str">
        <f>TEXT($B$3,0) &amp;" ----- "&amp;'Data - IA'!B50</f>
        <v>Frame: 54 ----- Stem: Integrated w/30 ----- Aerobar: + 30 + bridge</v>
      </c>
      <c r="C48">
        <f>$D$4+'Data - IA'!D50</f>
        <v>658</v>
      </c>
      <c r="D48">
        <f t="shared" si="1"/>
        <v>660</v>
      </c>
      <c r="E48" t="str">
        <f>'Data - IA'!F50&amp;" "</f>
        <v xml:space="preserve">Stem Bolts: 55mm ----- </v>
      </c>
      <c r="F48" t="str">
        <f>'Data - IA'!I50</f>
        <v xml:space="preserve">Aerobar Bolts: Top 30mm; Bottom 30mm </v>
      </c>
      <c r="G48" t="str">
        <f t="shared" si="2"/>
        <v xml:space="preserve">Stem Bolts: 55mm -----  Aerobar Bolts: Top 30mm; Bottom 30mm </v>
      </c>
    </row>
    <row r="49" spans="2:7" x14ac:dyDescent="0.25">
      <c r="B49" t="str">
        <f>TEXT($B$3,0) &amp;" ----- "&amp;'Data - IA'!B51</f>
        <v>Frame: 54 ----- Stem: Integrated w/30 ----- Aerobar: + 30 + bridge + 5</v>
      </c>
      <c r="C49">
        <f>$D$4+'Data - IA'!D51</f>
        <v>663</v>
      </c>
      <c r="D49">
        <f t="shared" si="1"/>
        <v>665</v>
      </c>
      <c r="E49" t="str">
        <f>'Data - IA'!F51&amp;" "</f>
        <v xml:space="preserve">Stem Bolts: 55mm ----- </v>
      </c>
      <c r="F49" t="str">
        <f>'Data - IA'!I51</f>
        <v xml:space="preserve">Aerobar Bolts: Top 35mm; Bottom 30mm </v>
      </c>
      <c r="G49" t="str">
        <f t="shared" si="2"/>
        <v xml:space="preserve">Stem Bolts: 55mm -----  Aerobar Bolts: Top 35mm; Bottom 30mm </v>
      </c>
    </row>
    <row r="50" spans="2:7" x14ac:dyDescent="0.25">
      <c r="B50" t="str">
        <f>TEXT($B$3,0) &amp;" ----- "&amp;'Data - IA'!B52</f>
        <v>Frame: 54 ----- Stem: Integrated w/30 ----- Aerobar: + 40 + bridge</v>
      </c>
      <c r="C50">
        <f>$D$4+'Data - IA'!D52</f>
        <v>668</v>
      </c>
      <c r="D50">
        <f t="shared" si="1"/>
        <v>670</v>
      </c>
      <c r="E50" t="str">
        <f>'Data - IA'!F52&amp;" "</f>
        <v xml:space="preserve">Stem Bolts: 55mm ----- </v>
      </c>
      <c r="F50" t="str">
        <f>'Data - IA'!I52</f>
        <v xml:space="preserve">Aerobar Bolts: Top 35mm; Bottom 30mm </v>
      </c>
      <c r="G50" t="str">
        <f t="shared" si="2"/>
        <v xml:space="preserve">Stem Bolts: 55mm -----  Aerobar Bolts: Top 35mm; Bottom 30mm </v>
      </c>
    </row>
    <row r="51" spans="2:7" x14ac:dyDescent="0.25">
      <c r="B51" t="str">
        <f>TEXT($B$3,0) &amp;" ----- "&amp;'Data - IA'!B53</f>
        <v>Frame: 54 ----- Stem: Integrated w/30 ----- Aerobar: + 40 + bridge + 5</v>
      </c>
      <c r="C51">
        <f>$D$4+'Data - IA'!D53</f>
        <v>673</v>
      </c>
      <c r="D51">
        <f t="shared" si="1"/>
        <v>675</v>
      </c>
      <c r="E51" t="str">
        <f>'Data - IA'!F53&amp;" "</f>
        <v xml:space="preserve">Stem Bolts: 55mm ----- </v>
      </c>
      <c r="F51" t="str">
        <f>'Data - IA'!I53</f>
        <v xml:space="preserve">Aerobar Bolts: Top 35mm; Bottom 30mm </v>
      </c>
      <c r="G51" t="str">
        <f t="shared" si="2"/>
        <v xml:space="preserve">Stem Bolts: 55mm -----  Aerobar Bolts: Top 35mm; Bottom 30mm </v>
      </c>
    </row>
    <row r="52" spans="2:7" x14ac:dyDescent="0.25">
      <c r="B52" t="str">
        <f>TEXT($B$3,0) &amp;" ----- "&amp;'Data - IA'!B54</f>
        <v>Frame: 54 ----- Stem: Integrated w/30 ----- Aerobar: + 40 + bridge + 10</v>
      </c>
      <c r="C52">
        <f>$D$4+'Data - IA'!D54</f>
        <v>678</v>
      </c>
      <c r="D52">
        <f t="shared" si="1"/>
        <v>680</v>
      </c>
      <c r="E52" t="str">
        <f>'Data - IA'!F54&amp;" "</f>
        <v xml:space="preserve">Stem Bolts: 55mm ----- </v>
      </c>
      <c r="F52" t="str">
        <f>'Data - IA'!I54</f>
        <v xml:space="preserve">Aerobar Bolts: Top 40mm; Bottom 30mm </v>
      </c>
      <c r="G52" t="str">
        <f t="shared" si="2"/>
        <v xml:space="preserve">Stem Bolts: 55mm -----  Aerobar Bolts: Top 40mm; Bottom 30mm </v>
      </c>
    </row>
    <row r="53" spans="2:7" x14ac:dyDescent="0.25">
      <c r="B53" t="str">
        <f>TEXT($B$3,0) &amp;" ----- "&amp;'Data - IA'!B55</f>
        <v>Frame: 54 ----- Stem: Integrated w/30 ----- Aerobar: + 40 + bridge + 10 + 5</v>
      </c>
      <c r="C53">
        <f>$D$4+'Data - IA'!D55</f>
        <v>683</v>
      </c>
      <c r="D53">
        <f t="shared" si="1"/>
        <v>685</v>
      </c>
      <c r="E53" t="str">
        <f>'Data - IA'!F55&amp;" "</f>
        <v xml:space="preserve">Stem Bolts: 55mm ----- </v>
      </c>
      <c r="F53" t="str">
        <f>'Data - IA'!I55</f>
        <v xml:space="preserve">Aerobar Bolts: Top 45mm; Bottom 30mm </v>
      </c>
      <c r="G53" t="str">
        <f t="shared" si="2"/>
        <v xml:space="preserve">Stem Bolts: 55mm -----  Aerobar Bolts: Top 45mm; Bottom 30mm </v>
      </c>
    </row>
    <row r="54" spans="2:7" x14ac:dyDescent="0.25">
      <c r="B54" t="str">
        <f>TEXT($B$3,0) &amp;" ----- "&amp;'Data - IA'!B56</f>
        <v xml:space="preserve">Frame: 54 ----- Stem: 31.8 ----- Carbon Aerobar: </v>
      </c>
      <c r="E54" t="str">
        <f>'Data - IA'!F56&amp;" "</f>
        <v xml:space="preserve">Stem Bolts: N/A ----- </v>
      </c>
      <c r="F54" t="str">
        <f>'Data - IA'!I56</f>
        <v xml:space="preserve">Aerobar Bolts: Top N/A; Bottom N/A </v>
      </c>
      <c r="G54" t="str">
        <f t="shared" si="2"/>
        <v xml:space="preserve">Stem Bolts: N/A -----  Aerobar Bolts: Top N/A; Bottom N/A </v>
      </c>
    </row>
    <row r="55" spans="2:7" x14ac:dyDescent="0.25">
      <c r="B55" t="str">
        <f>TEXT($B$3,0) &amp;" ----- "&amp;'Data - IA'!B57</f>
        <v>Frame: 54 ----- Stem: 31.8 ----- Carbon Aerobar: + 5</v>
      </c>
      <c r="C55">
        <f>$D$4+'Data - IA'!D57</f>
        <v>586</v>
      </c>
      <c r="D55">
        <f t="shared" ref="D55:D83" si="3">ROUND(C55/5,0)*5</f>
        <v>585</v>
      </c>
      <c r="E55" t="str">
        <f>'Data - IA'!F57&amp;" "</f>
        <v xml:space="preserve">Stem Bolts: N/A ----- </v>
      </c>
      <c r="F55" t="str">
        <f>'Data - IA'!I57</f>
        <v xml:space="preserve">Aerobar Bolts: Top 45mm; Bottom N/A </v>
      </c>
      <c r="G55" t="str">
        <f t="shared" si="2"/>
        <v xml:space="preserve">Stem Bolts: N/A -----  Aerobar Bolts: Top 45mm; Bottom N/A </v>
      </c>
    </row>
    <row r="56" spans="2:7" x14ac:dyDescent="0.25">
      <c r="B56" t="str">
        <f>TEXT($B$3,0) &amp;" ----- "&amp;'Data - IA'!B58</f>
        <v>Frame: 54 ----- Stem: 31.8 ----- Carbon Aerobar: + 10</v>
      </c>
      <c r="C56">
        <f>$D$4+'Data - IA'!D58</f>
        <v>591</v>
      </c>
      <c r="D56">
        <f t="shared" si="3"/>
        <v>590</v>
      </c>
      <c r="E56" t="str">
        <f>'Data - IA'!F58&amp;" "</f>
        <v xml:space="preserve">Stem Bolts: N/A ----- </v>
      </c>
      <c r="F56" t="str">
        <f>'Data - IA'!I58</f>
        <v xml:space="preserve">Aerobar Bolts: Top 50mm; Bottom N/A </v>
      </c>
      <c r="G56" t="str">
        <f t="shared" si="2"/>
        <v xml:space="preserve">Stem Bolts: N/A -----  Aerobar Bolts: Top 50mm; Bottom N/A </v>
      </c>
    </row>
    <row r="57" spans="2:7" x14ac:dyDescent="0.25">
      <c r="B57" t="str">
        <f>TEXT($B$3,0) &amp;" ----- "&amp;'Data - IA'!B59</f>
        <v>Frame: 54 ----- Stem: 31.8 ----- Carbon Aerobar: + 5 + 10</v>
      </c>
      <c r="C57">
        <f>$D$4+'Data - IA'!D59</f>
        <v>596</v>
      </c>
      <c r="D57">
        <f t="shared" si="3"/>
        <v>595</v>
      </c>
      <c r="E57" t="str">
        <f>'Data - IA'!F59&amp;" "</f>
        <v xml:space="preserve">Stem Bolts: N/A ----- </v>
      </c>
      <c r="F57" t="str">
        <f>'Data - IA'!I59</f>
        <v xml:space="preserve">Aerobar Bolts: Top 55mm; Bottom N/A </v>
      </c>
      <c r="G57" t="str">
        <f t="shared" si="2"/>
        <v xml:space="preserve">Stem Bolts: N/A -----  Aerobar Bolts: Top 55mm; Bottom N/A </v>
      </c>
    </row>
    <row r="58" spans="2:7" x14ac:dyDescent="0.25">
      <c r="B58" t="str">
        <f>TEXT($B$3,0) &amp;" ----- "&amp;'Data - IA'!B60</f>
        <v>Frame: 54 ----- Stem: 31.8 ----- Carbon Aerobar: + 20</v>
      </c>
      <c r="C58">
        <f>$D$4+'Data - IA'!D60</f>
        <v>601</v>
      </c>
      <c r="D58">
        <f t="shared" si="3"/>
        <v>600</v>
      </c>
      <c r="E58" t="str">
        <f>'Data - IA'!F60&amp;" "</f>
        <v xml:space="preserve">Stem Bolts: N/A ----- </v>
      </c>
      <c r="F58" t="str">
        <f>'Data - IA'!I60</f>
        <v xml:space="preserve">Aerobar Bolts: Top 20mm; Bottom 30mm </v>
      </c>
      <c r="G58" t="str">
        <f>E58&amp;" "&amp;F58</f>
        <v xml:space="preserve">Stem Bolts: N/A -----  Aerobar Bolts: Top 20mm; Bottom 30mm </v>
      </c>
    </row>
    <row r="59" spans="2:7" x14ac:dyDescent="0.25">
      <c r="B59" t="str">
        <f>TEXT($B$3,0) &amp;" ----- "&amp;'Data - IA'!B61</f>
        <v>Frame: 54 ----- Stem: 31.8 ----- Carbon Aerobar: + 20 + 5</v>
      </c>
      <c r="C59">
        <f>$D$4+'Data - IA'!D61</f>
        <v>606</v>
      </c>
      <c r="D59">
        <f t="shared" si="3"/>
        <v>605</v>
      </c>
      <c r="E59" t="str">
        <f>'Data - IA'!F61&amp;" "</f>
        <v xml:space="preserve">Stem Bolts: N/A ----- </v>
      </c>
      <c r="F59" t="str">
        <f>'Data - IA'!I61</f>
        <v xml:space="preserve">Aerobar Bolts: Top 25mm; Bottom 30mm </v>
      </c>
      <c r="G59" t="str">
        <f t="shared" ref="G59:G68" si="4">E59&amp;" "&amp;F59</f>
        <v xml:space="preserve">Stem Bolts: N/A -----  Aerobar Bolts: Top 25mm; Bottom 30mm </v>
      </c>
    </row>
    <row r="60" spans="2:7" x14ac:dyDescent="0.25">
      <c r="B60" t="str">
        <f>TEXT($B$3,0) &amp;" ----- "&amp;'Data - IA'!B62</f>
        <v>Frame: 54 ----- Stem: 31.8 ----- Carbon Aerobar: + 20 + bridge</v>
      </c>
      <c r="C60">
        <f>$D$4+'Data - IA'!D62</f>
        <v>606</v>
      </c>
      <c r="D60">
        <f t="shared" si="3"/>
        <v>605</v>
      </c>
      <c r="E60" t="str">
        <f>'Data - IA'!F62&amp;" "</f>
        <v xml:space="preserve">Stem Bolts: N/A ----- </v>
      </c>
      <c r="F60" t="str">
        <f>'Data - IA'!I62</f>
        <v xml:space="preserve">Aerobar Bolts: Top 25mm; Bottom 30mm </v>
      </c>
      <c r="G60" t="str">
        <f t="shared" si="4"/>
        <v xml:space="preserve">Stem Bolts: N/A -----  Aerobar Bolts: Top 25mm; Bottom 30mm </v>
      </c>
    </row>
    <row r="61" spans="2:7" x14ac:dyDescent="0.25">
      <c r="B61" t="str">
        <f>TEXT($B$3,0) &amp;" ----- "&amp;'Data - IA'!B63</f>
        <v>Frame: 54 ----- Stem: 31.8 ----- Carbon Aerobar: + 30</v>
      </c>
      <c r="C61">
        <f>$D$4+'Data - IA'!D63</f>
        <v>611</v>
      </c>
      <c r="D61">
        <f t="shared" si="3"/>
        <v>610</v>
      </c>
      <c r="E61" t="str">
        <f>'Data - IA'!F63&amp;" "</f>
        <v xml:space="preserve">Stem Bolts: N/A ----- </v>
      </c>
      <c r="F61" t="str">
        <f>'Data - IA'!I63</f>
        <v xml:space="preserve">Aerobar Bolts: Top 25mm; Bottom 30mm </v>
      </c>
      <c r="G61" t="str">
        <f t="shared" si="4"/>
        <v xml:space="preserve">Stem Bolts: N/A -----  Aerobar Bolts: Top 25mm; Bottom 30mm </v>
      </c>
    </row>
    <row r="62" spans="2:7" x14ac:dyDescent="0.25">
      <c r="B62" t="str">
        <f>TEXT($B$3,0) &amp;" ----- "&amp;'Data - IA'!B64</f>
        <v>Frame: 54 ----- Stem: 31.8 ----- Carbon Aerobar: + 20 + bridge + 5</v>
      </c>
      <c r="C62">
        <f>$D$4+'Data - IA'!D64</f>
        <v>611</v>
      </c>
      <c r="D62">
        <f t="shared" si="3"/>
        <v>610</v>
      </c>
      <c r="E62" t="str">
        <f>'Data - IA'!F64&amp;" "</f>
        <v xml:space="preserve">Stem Bolts: N/A ----- </v>
      </c>
      <c r="F62" t="str">
        <f>'Data - IA'!I64</f>
        <v xml:space="preserve">Aerobar Bolts: Top 30mm; Bottom 30mm </v>
      </c>
      <c r="G62" t="str">
        <f t="shared" si="4"/>
        <v xml:space="preserve">Stem Bolts: N/A -----  Aerobar Bolts: Top 30mm; Bottom 30mm </v>
      </c>
    </row>
    <row r="63" spans="2:7" x14ac:dyDescent="0.25">
      <c r="B63" t="str">
        <f>TEXT($B$3,0) &amp;" ----- "&amp;'Data - IA'!B65</f>
        <v>Frame: 54 ----- Stem: 31.8 ----- Carbon Aerobar: + 30 + bridge</v>
      </c>
      <c r="C63">
        <f>$D$4+'Data - IA'!D65</f>
        <v>616</v>
      </c>
      <c r="D63">
        <f t="shared" si="3"/>
        <v>615</v>
      </c>
      <c r="E63" t="str">
        <f>'Data - IA'!F65&amp;" "</f>
        <v xml:space="preserve">Stem Bolts: N/A ----- </v>
      </c>
      <c r="F63" t="str">
        <f>'Data - IA'!I65</f>
        <v xml:space="preserve">Aerobar Bolts: Top 30mm; Bottom 30mm </v>
      </c>
      <c r="G63" t="str">
        <f t="shared" si="4"/>
        <v xml:space="preserve">Stem Bolts: N/A -----  Aerobar Bolts: Top 30mm; Bottom 30mm </v>
      </c>
    </row>
    <row r="64" spans="2:7" x14ac:dyDescent="0.25">
      <c r="B64" t="str">
        <f>TEXT($B$3,0) &amp;" ----- "&amp;'Data - IA'!B66</f>
        <v>Frame: 54 ----- Stem: 31.8 ----- Carbon Aerobar: + 30 + bridge + 5</v>
      </c>
      <c r="C64">
        <f>$D$4+'Data - IA'!D66</f>
        <v>621</v>
      </c>
      <c r="D64">
        <f t="shared" si="3"/>
        <v>620</v>
      </c>
      <c r="E64" t="str">
        <f>'Data - IA'!F66&amp;" "</f>
        <v xml:space="preserve">Stem Bolts: N/A ----- </v>
      </c>
      <c r="F64" t="str">
        <f>'Data - IA'!I66</f>
        <v xml:space="preserve">Aerobar Bolts: Top 35mm; Bottom 30mm </v>
      </c>
      <c r="G64" t="str">
        <f t="shared" si="4"/>
        <v xml:space="preserve">Stem Bolts: N/A -----  Aerobar Bolts: Top 35mm; Bottom 30mm </v>
      </c>
    </row>
    <row r="65" spans="2:7" x14ac:dyDescent="0.25">
      <c r="B65" t="str">
        <f>TEXT($B$3,0) &amp;" ----- "&amp;'Data - IA'!B67</f>
        <v>Frame: 54 ----- Stem: 31.8 ----- Carbon Aerobar: + 40 + bridge</v>
      </c>
      <c r="C65">
        <f>$D$4+'Data - IA'!D67</f>
        <v>626</v>
      </c>
      <c r="D65">
        <f t="shared" si="3"/>
        <v>625</v>
      </c>
      <c r="E65" t="str">
        <f>'Data - IA'!F67&amp;" "</f>
        <v xml:space="preserve">Stem Bolts: N/A ----- </v>
      </c>
      <c r="F65" t="str">
        <f>'Data - IA'!I67</f>
        <v xml:space="preserve">Aerobar Bolts: Top 35mm; Bottom 30mm </v>
      </c>
      <c r="G65" t="str">
        <f t="shared" si="4"/>
        <v xml:space="preserve">Stem Bolts: N/A -----  Aerobar Bolts: Top 35mm; Bottom 30mm </v>
      </c>
    </row>
    <row r="66" spans="2:7" x14ac:dyDescent="0.25">
      <c r="B66" t="str">
        <f>TEXT($B$3,0) &amp;" ----- "&amp;'Data - IA'!B68</f>
        <v>Frame: 54 ----- Stem: 31.8 ----- Carbon Aerobar: + 40 + bridge + 5</v>
      </c>
      <c r="C66">
        <f>$D$4+'Data - IA'!D68</f>
        <v>631</v>
      </c>
      <c r="D66">
        <f t="shared" si="3"/>
        <v>630</v>
      </c>
      <c r="E66" t="str">
        <f>'Data - IA'!F68&amp;" "</f>
        <v xml:space="preserve">Stem Bolts: N/A ----- </v>
      </c>
      <c r="F66" t="str">
        <f>'Data - IA'!I68</f>
        <v xml:space="preserve">Aerobar Bolts: Top 35mm; Bottom 30mm </v>
      </c>
      <c r="G66" t="str">
        <f t="shared" si="4"/>
        <v xml:space="preserve">Stem Bolts: N/A -----  Aerobar Bolts: Top 35mm; Bottom 30mm </v>
      </c>
    </row>
    <row r="67" spans="2:7" x14ac:dyDescent="0.25">
      <c r="B67" t="str">
        <f>TEXT($B$3,0) &amp;" ----- "&amp;'Data - IA'!B69</f>
        <v>Frame: 54 ----- Stem: 31.8 ----- Carbon Aerobar: + 40 + bridge + 10</v>
      </c>
      <c r="C67">
        <f>$D$4+'Data - IA'!D69</f>
        <v>636</v>
      </c>
      <c r="D67">
        <f t="shared" si="3"/>
        <v>635</v>
      </c>
      <c r="E67" t="str">
        <f>'Data - IA'!F69&amp;" "</f>
        <v xml:space="preserve">Stem Bolts: N/A ----- </v>
      </c>
      <c r="F67" t="str">
        <f>'Data - IA'!I69</f>
        <v xml:space="preserve">Aerobar Bolts: Top 40mm; Bottom 30mm </v>
      </c>
      <c r="G67" t="str">
        <f t="shared" si="4"/>
        <v xml:space="preserve">Stem Bolts: N/A -----  Aerobar Bolts: Top 40mm; Bottom 30mm </v>
      </c>
    </row>
    <row r="68" spans="2:7" x14ac:dyDescent="0.25">
      <c r="B68" t="str">
        <f>TEXT($B$3,0) &amp;" ----- "&amp;'Data - IA'!B70</f>
        <v>Frame: 54 ----- Stem: 31.8 ----- Carbon Aerobar: + 40 + bridge + 10 + 5</v>
      </c>
      <c r="C68">
        <f>$D$4+'Data - IA'!D70</f>
        <v>641</v>
      </c>
      <c r="D68">
        <f t="shared" si="3"/>
        <v>640</v>
      </c>
      <c r="E68" t="str">
        <f>'Data - IA'!F70&amp;" "</f>
        <v xml:space="preserve">Stem Bolts: N/A ----- </v>
      </c>
      <c r="F68" t="str">
        <f>'Data - IA'!I70</f>
        <v xml:space="preserve">Aerobar Bolts: Top 45mm; Bottom 30mm </v>
      </c>
      <c r="G68" t="str">
        <f t="shared" si="4"/>
        <v xml:space="preserve">Stem Bolts: N/A -----  Aerobar Bolts: Top 45mm; Bottom 30mm </v>
      </c>
    </row>
    <row r="69" spans="2:7" x14ac:dyDescent="0.25">
      <c r="B69" t="str">
        <f>TEXT($B$3,0) &amp;" ----- "&amp;'Data - IA'!B71</f>
        <v xml:space="preserve">Frame: 54 ----- Stem: 31.8 ----- Alloy Aerobar: </v>
      </c>
      <c r="C69">
        <f>$D$4+'Data - IA'!D71</f>
        <v>596</v>
      </c>
      <c r="D69">
        <f t="shared" si="3"/>
        <v>595</v>
      </c>
      <c r="E69" t="str">
        <f>'Data - IA'!F71&amp;" "</f>
        <v xml:space="preserve">Stem Bolts: N/A ----- </v>
      </c>
      <c r="F69" t="str">
        <f>'Data - IA'!I71</f>
        <v xml:space="preserve">Aerobar Bolts: Top 20mm; Bottom N/A </v>
      </c>
      <c r="G69" t="str">
        <f t="shared" ref="G69:G83" si="5">E69&amp;" "&amp;F69</f>
        <v xml:space="preserve">Stem Bolts: N/A -----  Aerobar Bolts: Top 20mm; Bottom N/A </v>
      </c>
    </row>
    <row r="70" spans="2:7" x14ac:dyDescent="0.25">
      <c r="B70" t="str">
        <f>TEXT($B$3,0) &amp;" ----- "&amp;'Data - IA'!B72</f>
        <v>Frame: 54 ----- Stem: 31.8 ----- Alloy Aerobar: + 5</v>
      </c>
      <c r="C70">
        <f>$D$4+'Data - IA'!D72</f>
        <v>601</v>
      </c>
      <c r="D70">
        <f t="shared" si="3"/>
        <v>600</v>
      </c>
      <c r="E70" t="str">
        <f>'Data - IA'!F72&amp;" "</f>
        <v xml:space="preserve">Stem Bolts: N/A ----- </v>
      </c>
      <c r="F70" t="str">
        <f>'Data - IA'!I72</f>
        <v xml:space="preserve">Aerobar Bolts: Top 25mm; Bottom N/A </v>
      </c>
      <c r="G70" t="str">
        <f t="shared" si="5"/>
        <v xml:space="preserve">Stem Bolts: N/A -----  Aerobar Bolts: Top 25mm; Bottom N/A </v>
      </c>
    </row>
    <row r="71" spans="2:7" x14ac:dyDescent="0.25">
      <c r="B71" t="str">
        <f>TEXT($B$3,0) &amp;" ----- "&amp;'Data - IA'!B73</f>
        <v>Frame: 54 ----- Stem: 31.8 ----- Alloy Aerobar: + 10</v>
      </c>
      <c r="C71">
        <f>$D$4+'Data - IA'!D73</f>
        <v>606</v>
      </c>
      <c r="D71">
        <f t="shared" si="3"/>
        <v>605</v>
      </c>
      <c r="E71" t="str">
        <f>'Data - IA'!F73&amp;" "</f>
        <v xml:space="preserve">Stem Bolts: N/A ----- </v>
      </c>
      <c r="F71" t="str">
        <f>'Data - IA'!I73</f>
        <v xml:space="preserve">Aerobar Bolts: Top 30mm; Bottom N/A </v>
      </c>
      <c r="G71" t="str">
        <f t="shared" si="5"/>
        <v xml:space="preserve">Stem Bolts: N/A -----  Aerobar Bolts: Top 30mm; Bottom N/A </v>
      </c>
    </row>
    <row r="72" spans="2:7" x14ac:dyDescent="0.25">
      <c r="B72" t="str">
        <f>TEXT($B$3,0) &amp;" ----- "&amp;'Data - IA'!B74</f>
        <v>Frame: 54 ----- Stem: 31.8 ----- Alloy Aerobar: + 5 + 10</v>
      </c>
      <c r="C72">
        <f>$D$4+'Data - IA'!D74</f>
        <v>611</v>
      </c>
      <c r="D72">
        <f t="shared" si="3"/>
        <v>610</v>
      </c>
      <c r="E72" t="str">
        <f>'Data - IA'!F74&amp;" "</f>
        <v xml:space="preserve">Stem Bolts: N/A ----- </v>
      </c>
      <c r="F72" t="str">
        <f>'Data - IA'!I74</f>
        <v xml:space="preserve">Aerobar Bolts: Top 35mm; Bottom N/A </v>
      </c>
      <c r="G72" t="str">
        <f t="shared" si="5"/>
        <v xml:space="preserve">Stem Bolts: N/A -----  Aerobar Bolts: Top 35mm; Bottom N/A </v>
      </c>
    </row>
    <row r="73" spans="2:7" x14ac:dyDescent="0.25">
      <c r="B73" t="str">
        <f>TEXT($B$3,0) &amp;" ----- "&amp;'Data - IA'!B75</f>
        <v>Frame: 54 ----- Stem: 31.8 ----- Alloy Aerobar: + 20</v>
      </c>
      <c r="C73">
        <f>$D$4+'Data - IA'!D75</f>
        <v>616</v>
      </c>
      <c r="D73">
        <f t="shared" si="3"/>
        <v>615</v>
      </c>
      <c r="E73" t="str">
        <f>'Data - IA'!F75&amp;" "</f>
        <v xml:space="preserve">Stem Bolts: N/A ----- </v>
      </c>
      <c r="F73" t="str">
        <f>'Data - IA'!I75</f>
        <v xml:space="preserve">Aerobar Bolts: Top 20mm; Bottom 15mm </v>
      </c>
      <c r="G73" t="str">
        <f t="shared" si="5"/>
        <v xml:space="preserve">Stem Bolts: N/A -----  Aerobar Bolts: Top 20mm; Bottom 15mm </v>
      </c>
    </row>
    <row r="74" spans="2:7" x14ac:dyDescent="0.25">
      <c r="B74" t="str">
        <f>TEXT($B$3,0) &amp;" ----- "&amp;'Data - IA'!B76</f>
        <v xml:space="preserve">Frame: 54 ----- Stem: 31.8 ----- Alloy Aerobar: + 20 + 5 </v>
      </c>
      <c r="C74">
        <f>$D$4+'Data - IA'!D76</f>
        <v>621</v>
      </c>
      <c r="D74">
        <f t="shared" si="3"/>
        <v>620</v>
      </c>
      <c r="E74" t="str">
        <f>'Data - IA'!F76&amp;" "</f>
        <v xml:space="preserve">Stem Bolts: N/A ----- </v>
      </c>
      <c r="F74" t="str">
        <f>'Data - IA'!I76</f>
        <v xml:space="preserve">Aerobar Bolts: Top 25mm; Bottom 15mm </v>
      </c>
      <c r="G74" t="str">
        <f t="shared" si="5"/>
        <v xml:space="preserve">Stem Bolts: N/A -----  Aerobar Bolts: Top 25mm; Bottom 15mm </v>
      </c>
    </row>
    <row r="75" spans="2:7" x14ac:dyDescent="0.25">
      <c r="B75" t="str">
        <f>TEXT($B$3,0) &amp;" ----- "&amp;'Data - IA'!B77</f>
        <v>Frame: 54 ----- Stem: 31.8 ----- Alloy Aerobar: + 20 + bridge</v>
      </c>
      <c r="C75">
        <f>$D$4+'Data - IA'!D77</f>
        <v>621</v>
      </c>
      <c r="D75">
        <f t="shared" si="3"/>
        <v>620</v>
      </c>
      <c r="E75" t="str">
        <f>'Data - IA'!F77&amp;" "</f>
        <v xml:space="preserve">Stem Bolts: N/A ----- </v>
      </c>
      <c r="F75" t="str">
        <f>'Data - IA'!I77</f>
        <v xml:space="preserve">Aerobar Bolts: Top 25mm; Bottom 15mm </v>
      </c>
      <c r="G75" t="str">
        <f t="shared" si="5"/>
        <v xml:space="preserve">Stem Bolts: N/A -----  Aerobar Bolts: Top 25mm; Bottom 15mm </v>
      </c>
    </row>
    <row r="76" spans="2:7" x14ac:dyDescent="0.25">
      <c r="B76" t="str">
        <f>TEXT($B$3,0) &amp;" ----- "&amp;'Data - IA'!B78</f>
        <v>Frame: 54 ----- Stem: 31.8 ----- Alloy Aerobar: + 20 + bridge + 5</v>
      </c>
      <c r="C76">
        <f>$D$4+'Data - IA'!D78</f>
        <v>626</v>
      </c>
      <c r="D76">
        <f t="shared" si="3"/>
        <v>625</v>
      </c>
      <c r="E76" t="str">
        <f>'Data - IA'!F78&amp;" "</f>
        <v xml:space="preserve">Stem Bolts: N/A ----- </v>
      </c>
      <c r="F76" t="str">
        <f>'Data - IA'!I78</f>
        <v xml:space="preserve">Aerobar Bolts: Top 25mm; Bottom 15mm </v>
      </c>
      <c r="G76" t="str">
        <f t="shared" si="5"/>
        <v xml:space="preserve">Stem Bolts: N/A -----  Aerobar Bolts: Top 25mm; Bottom 15mm </v>
      </c>
    </row>
    <row r="77" spans="2:7" x14ac:dyDescent="0.25">
      <c r="B77" t="str">
        <f>TEXT($B$3,0) &amp;" ----- "&amp;'Data - IA'!B79</f>
        <v>Frame: 54 ----- Stem: 31.8 ----- Alloy Aerobar: + 30</v>
      </c>
      <c r="C77">
        <f>$D$4+'Data - IA'!D79</f>
        <v>626</v>
      </c>
      <c r="D77">
        <f t="shared" si="3"/>
        <v>625</v>
      </c>
      <c r="E77" t="str">
        <f>'Data - IA'!F79&amp;" "</f>
        <v xml:space="preserve">Stem Bolts: N/A ----- </v>
      </c>
      <c r="F77" t="str">
        <f>'Data - IA'!I79</f>
        <v xml:space="preserve">Aerobar Bolts: Top 25mm; Bottom 15mm </v>
      </c>
      <c r="G77" t="str">
        <f t="shared" si="5"/>
        <v xml:space="preserve">Stem Bolts: N/A -----  Aerobar Bolts: Top 25mm; Bottom 15mm </v>
      </c>
    </row>
    <row r="78" spans="2:7" x14ac:dyDescent="0.25">
      <c r="B78" t="str">
        <f>TEXT($B$3,0) &amp;" ----- "&amp;'Data - IA'!B80</f>
        <v>Frame: 54 ----- Stem: 31.8 ----- Alloy Aerobar: + 30 + bridge</v>
      </c>
      <c r="C78">
        <f>$D$4+'Data - IA'!D80</f>
        <v>631</v>
      </c>
      <c r="D78">
        <f t="shared" si="3"/>
        <v>630</v>
      </c>
      <c r="E78" t="str">
        <f>'Data - IA'!F80&amp;" "</f>
        <v xml:space="preserve">Stem Bolts: N/A ----- </v>
      </c>
      <c r="F78" t="str">
        <f>'Data - IA'!I80</f>
        <v xml:space="preserve">Aerobar Bolts: Top 30mm; Bottom 15mm </v>
      </c>
      <c r="G78" t="str">
        <f t="shared" si="5"/>
        <v xml:space="preserve">Stem Bolts: N/A -----  Aerobar Bolts: Top 30mm; Bottom 15mm </v>
      </c>
    </row>
    <row r="79" spans="2:7" x14ac:dyDescent="0.25">
      <c r="B79" t="str">
        <f>TEXT($B$3,0) &amp;" ----- "&amp;'Data - IA'!B81</f>
        <v>Frame: 54 ----- Stem: 31.8 ----- Alloy Aerobar: + 30 + bridge + 5</v>
      </c>
      <c r="C79">
        <f>$D$4+'Data - IA'!D81</f>
        <v>636</v>
      </c>
      <c r="D79">
        <f t="shared" si="3"/>
        <v>635</v>
      </c>
      <c r="E79" t="str">
        <f>'Data - IA'!F81&amp;" "</f>
        <v xml:space="preserve">Stem Bolts: N/A ----- </v>
      </c>
      <c r="F79" t="str">
        <f>'Data - IA'!I81</f>
        <v xml:space="preserve">Aerobar Bolts: Top 30mm; Bottom 15mm </v>
      </c>
      <c r="G79" t="str">
        <f t="shared" si="5"/>
        <v xml:space="preserve">Stem Bolts: N/A -----  Aerobar Bolts: Top 30mm; Bottom 15mm </v>
      </c>
    </row>
    <row r="80" spans="2:7" x14ac:dyDescent="0.25">
      <c r="B80" t="str">
        <f>TEXT($B$3,0) &amp;" ----- "&amp;'Data - IA'!B82</f>
        <v>Frame: 54 ----- Stem: 31.8 ----- Alloy Aerobar: + 40 + bridge</v>
      </c>
      <c r="C80">
        <f>$D$4+'Data - IA'!D82</f>
        <v>641</v>
      </c>
      <c r="D80">
        <f t="shared" si="3"/>
        <v>640</v>
      </c>
      <c r="E80" t="str">
        <f>'Data - IA'!F82&amp;" "</f>
        <v xml:space="preserve">Stem Bolts: N/A ----- </v>
      </c>
      <c r="F80" t="str">
        <f>'Data - IA'!I82</f>
        <v xml:space="preserve">Aerobar Bolts: Top 35mm; Bottom 15mm </v>
      </c>
      <c r="G80" t="str">
        <f t="shared" si="5"/>
        <v xml:space="preserve">Stem Bolts: N/A -----  Aerobar Bolts: Top 35mm; Bottom 15mm </v>
      </c>
    </row>
    <row r="81" spans="2:7" x14ac:dyDescent="0.25">
      <c r="B81" t="str">
        <f>TEXT($B$3,0) &amp;" ----- "&amp;'Data - IA'!B83</f>
        <v>Frame: 54 ----- Stem: 31.8 ----- Alloy Aerobar: + 40 + bridge + 5</v>
      </c>
      <c r="C81">
        <f>$D$4+'Data - IA'!D83</f>
        <v>646</v>
      </c>
      <c r="D81">
        <f t="shared" si="3"/>
        <v>645</v>
      </c>
      <c r="E81" t="str">
        <f>'Data - IA'!F83&amp;" "</f>
        <v xml:space="preserve">Stem Bolts: N/A ----- </v>
      </c>
      <c r="F81" t="str">
        <f>'Data - IA'!I83</f>
        <v xml:space="preserve">Aerobar Bolts: Top 35mm; Bottom 15mm </v>
      </c>
      <c r="G81" t="str">
        <f t="shared" si="5"/>
        <v xml:space="preserve">Stem Bolts: N/A -----  Aerobar Bolts: Top 35mm; Bottom 15mm </v>
      </c>
    </row>
    <row r="82" spans="2:7" x14ac:dyDescent="0.25">
      <c r="B82" t="str">
        <f>TEXT($B$3,0) &amp;" ----- "&amp;'Data - IA'!B84</f>
        <v>Frame: 54 ----- Stem: 31.8 ----- Alloy Aerobar: + 40 + bridge + 10</v>
      </c>
      <c r="C82">
        <f>$D$4+'Data - IA'!D84</f>
        <v>651</v>
      </c>
      <c r="D82">
        <f t="shared" si="3"/>
        <v>650</v>
      </c>
      <c r="E82" t="str">
        <f>'Data - IA'!F84&amp;" "</f>
        <v xml:space="preserve">Stem Bolts: N/A ----- </v>
      </c>
      <c r="F82" t="str">
        <f>'Data - IA'!I84</f>
        <v xml:space="preserve">Aerobar Bolts: Top 35mm; Bottom 15mm </v>
      </c>
      <c r="G82" t="str">
        <f t="shared" si="5"/>
        <v xml:space="preserve">Stem Bolts: N/A -----  Aerobar Bolts: Top 35mm; Bottom 15mm </v>
      </c>
    </row>
    <row r="83" spans="2:7" x14ac:dyDescent="0.25">
      <c r="B83" t="str">
        <f>TEXT($B$3,0) &amp;" ----- "&amp;'Data - IA'!B85</f>
        <v>Frame: 54 ----- Stem: 31.8 ----- Alloy Aerobar: + 40 + bridge + 5 + 10</v>
      </c>
      <c r="C83">
        <f>$D$4+'Data - IA'!D85</f>
        <v>656</v>
      </c>
      <c r="D83">
        <f t="shared" si="3"/>
        <v>655</v>
      </c>
      <c r="E83" t="str">
        <f>'Data - IA'!F85&amp;" "</f>
        <v xml:space="preserve">Stem Bolts: N/A ----- </v>
      </c>
      <c r="F83" t="str">
        <f>'Data - IA'!I85</f>
        <v xml:space="preserve">Aerobar Bolts: Top 35mm; Bottom 25mm </v>
      </c>
      <c r="G83" t="str">
        <f t="shared" si="5"/>
        <v xml:space="preserve">Stem Bolts: N/A -----  Aerobar Bolts: Top 35mm; Bottom 25mm </v>
      </c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J84"/>
  <sheetViews>
    <sheetView zoomScale="70" zoomScaleNormal="70" workbookViewId="0">
      <selection activeCell="B4" sqref="B4"/>
    </sheetView>
  </sheetViews>
  <sheetFormatPr defaultRowHeight="15" x14ac:dyDescent="0.25"/>
  <cols>
    <col min="2" max="2" width="70.7109375" customWidth="1"/>
    <col min="5" max="6" width="9.140625" hidden="1" customWidth="1"/>
    <col min="8" max="8" width="22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100</v>
      </c>
      <c r="C3" t="s">
        <v>2</v>
      </c>
      <c r="D3" t="s">
        <v>1</v>
      </c>
      <c r="H3" t="s">
        <v>15</v>
      </c>
      <c r="I3">
        <v>395</v>
      </c>
      <c r="J3">
        <v>415</v>
      </c>
    </row>
    <row r="4" spans="2:10" x14ac:dyDescent="0.25">
      <c r="B4" t="s">
        <v>10</v>
      </c>
      <c r="C4">
        <v>389</v>
      </c>
      <c r="D4">
        <v>501</v>
      </c>
      <c r="H4" t="s">
        <v>16</v>
      </c>
      <c r="I4">
        <v>505</v>
      </c>
      <c r="J4">
        <v>485</v>
      </c>
    </row>
    <row r="6" spans="2:10" x14ac:dyDescent="0.25">
      <c r="H6" t="s">
        <v>33</v>
      </c>
      <c r="I6">
        <f>C4+'Data - IA'!$C$12</f>
        <v>434</v>
      </c>
    </row>
    <row r="7" spans="2:10" x14ac:dyDescent="0.25">
      <c r="H7" t="s">
        <v>34</v>
      </c>
      <c r="I7">
        <f>C4+'Data - IA'!$C$57</f>
        <v>479</v>
      </c>
    </row>
    <row r="8" spans="2:10" x14ac:dyDescent="0.25">
      <c r="C8" t="s">
        <v>1</v>
      </c>
      <c r="H8" t="s">
        <v>68</v>
      </c>
      <c r="I8">
        <v>477</v>
      </c>
    </row>
    <row r="9" spans="2:10" x14ac:dyDescent="0.25">
      <c r="B9" t="str">
        <f>TEXT($B$3,0) &amp;" ----- "&amp;'Data - IA'!B11</f>
        <v>Frame: 51 ----- Stem: Integrated ----- Aerobar:</v>
      </c>
      <c r="D9">
        <f t="shared" ref="D9:D40" si="0">ROUND(C9/5,0)*5</f>
        <v>0</v>
      </c>
      <c r="E9" t="str">
        <f>'Data - IA'!F11&amp;" "</f>
        <v xml:space="preserve">Stem Bolts: 25mm ----- </v>
      </c>
      <c r="F9" t="str">
        <f>'Data - IA'!I11</f>
        <v xml:space="preserve">Aerobar Bolts: Top N/A; Bottom N/A </v>
      </c>
      <c r="G9" t="str">
        <f>E9&amp;" "&amp;F9</f>
        <v xml:space="preserve">Stem Bolts: 25mm -----  Aerobar Bolts: Top N/A; Bottom N/A </v>
      </c>
    </row>
    <row r="10" spans="2:10" x14ac:dyDescent="0.25">
      <c r="B10" t="str">
        <f>TEXT($B$3,0) &amp;" ----- "&amp;'Data - IA'!B12</f>
        <v>Frame: 51 ----- Stem: Integrated ----- Aerobar:+ 5</v>
      </c>
      <c r="C10">
        <f>$D$4+'Data - IA'!D12</f>
        <v>579</v>
      </c>
      <c r="D10">
        <f t="shared" si="0"/>
        <v>580</v>
      </c>
      <c r="E10" t="str">
        <f>'Data - IA'!F12&amp;" "</f>
        <v xml:space="preserve">Stem Bolts: 25mm ----- </v>
      </c>
      <c r="F10" t="str">
        <f>'Data - IA'!I12</f>
        <v xml:space="preserve">Aerobar Bolts: Top 45mm; Bottom N/A </v>
      </c>
      <c r="G10" t="str">
        <f t="shared" ref="G10:G32" si="1">E10&amp;" "&amp;F10</f>
        <v xml:space="preserve">Stem Bolts: 25mm -----  Aerobar Bolts: Top 45mm; Bottom N/A </v>
      </c>
    </row>
    <row r="11" spans="2:10" x14ac:dyDescent="0.25">
      <c r="B11" t="str">
        <f>TEXT($B$3,0) &amp;" ----- "&amp;'Data - IA'!B13</f>
        <v>Frame: 51 ----- Stem: Integrated ----- Aerobar:+ 10</v>
      </c>
      <c r="C11">
        <f>$D$4+'Data - IA'!D13</f>
        <v>584</v>
      </c>
      <c r="D11">
        <f t="shared" si="0"/>
        <v>585</v>
      </c>
      <c r="E11" t="str">
        <f>'Data - IA'!F13&amp;" "</f>
        <v xml:space="preserve">Stem Bolts: 25mm ----- </v>
      </c>
      <c r="F11" t="str">
        <f>'Data - IA'!I13</f>
        <v xml:space="preserve">Aerobar Bolts: Top 50mm; Bottom N/A </v>
      </c>
      <c r="G11" t="str">
        <f t="shared" si="1"/>
        <v xml:space="preserve">Stem Bolts: 25mm -----  Aerobar Bolts: Top 50mm; Bottom N/A </v>
      </c>
    </row>
    <row r="12" spans="2:10" x14ac:dyDescent="0.25">
      <c r="B12" t="str">
        <f>TEXT($B$3,0) &amp;" ----- "&amp;'Data - IA'!B14</f>
        <v>Frame: 51 ----- Stem: Integrated ----- Aerobar:+ 5 + 10</v>
      </c>
      <c r="C12">
        <f>$D$4+'Data - IA'!D14</f>
        <v>589</v>
      </c>
      <c r="D12">
        <f t="shared" si="0"/>
        <v>590</v>
      </c>
      <c r="E12" t="str">
        <f>'Data - IA'!F14&amp;" "</f>
        <v xml:space="preserve">Stem Bolts: 25mm ----- </v>
      </c>
      <c r="F12" t="str">
        <f>'Data - IA'!I14</f>
        <v xml:space="preserve">Aerobar Bolts: Top 55mm; Bottom N/A </v>
      </c>
      <c r="G12" t="str">
        <f t="shared" si="1"/>
        <v xml:space="preserve">Stem Bolts: 25mm -----  Aerobar Bolts: Top 55mm; Bottom N/A </v>
      </c>
    </row>
    <row r="13" spans="2:10" x14ac:dyDescent="0.25">
      <c r="B13" t="str">
        <f>TEXT($B$3,0) &amp;" ----- "&amp;'Data - IA'!B15</f>
        <v>Frame: 51 ----- Stem: Integrated ----- Aerobar:+ 20</v>
      </c>
      <c r="C13">
        <f>$D$4+'Data - IA'!D15</f>
        <v>594</v>
      </c>
      <c r="D13">
        <f t="shared" si="0"/>
        <v>595</v>
      </c>
      <c r="E13" t="str">
        <f>'Data - IA'!F15&amp;" "</f>
        <v xml:space="preserve">Stem Bolts: 25mm ----- </v>
      </c>
      <c r="F13" t="str">
        <f>'Data - IA'!I15</f>
        <v xml:space="preserve">Aerobar Bolts: Top 20mm; Bottom 30mm </v>
      </c>
      <c r="G13" t="str">
        <f t="shared" si="1"/>
        <v xml:space="preserve">Stem Bolts: 25mm -----  Aerobar Bolts: Top 20mm; Bottom 30mm </v>
      </c>
    </row>
    <row r="14" spans="2:10" x14ac:dyDescent="0.25">
      <c r="B14" t="str">
        <f>TEXT($B$3,0) &amp;" ----- "&amp;'Data - IA'!B16</f>
        <v>Frame: 51 ----- Stem: Integrated ----- Aerobar:+ 20 + 5</v>
      </c>
      <c r="C14">
        <f>$D$4+'Data - IA'!D16</f>
        <v>599</v>
      </c>
      <c r="D14">
        <f t="shared" si="0"/>
        <v>600</v>
      </c>
      <c r="E14" t="str">
        <f>'Data - IA'!F16&amp;" "</f>
        <v xml:space="preserve">Stem Bolts: 25mm ----- </v>
      </c>
      <c r="F14" t="str">
        <f>'Data - IA'!I16</f>
        <v xml:space="preserve">Aerobar Bolts: Top 25mm; Bottom 30mm </v>
      </c>
      <c r="G14" t="str">
        <f t="shared" si="1"/>
        <v xml:space="preserve">Stem Bolts: 25mm -----  Aerobar Bolts: Top 25mm; Bottom 30mm </v>
      </c>
    </row>
    <row r="15" spans="2:10" x14ac:dyDescent="0.25">
      <c r="B15" t="str">
        <f>TEXT($B$3,0) &amp;" ----- "&amp;'Data - IA'!B17</f>
        <v>Frame: 51 ----- Stem: Integrated ----- Aerobar:+ 20 + bridge</v>
      </c>
      <c r="C15">
        <f>$D$4+'Data - IA'!D17</f>
        <v>599</v>
      </c>
      <c r="D15">
        <f t="shared" si="0"/>
        <v>600</v>
      </c>
      <c r="E15" t="str">
        <f>'Data - IA'!F17&amp;" "</f>
        <v xml:space="preserve">Stem Bolts: 25mm ----- </v>
      </c>
      <c r="F15" t="str">
        <f>'Data - IA'!I17</f>
        <v xml:space="preserve">Aerobar Bolts: Top 25mm; Bottom 30mm </v>
      </c>
      <c r="G15" t="str">
        <f t="shared" si="1"/>
        <v xml:space="preserve">Stem Bolts: 25mm -----  Aerobar Bolts: Top 25mm; Bottom 30mm </v>
      </c>
    </row>
    <row r="16" spans="2:10" x14ac:dyDescent="0.25">
      <c r="B16" t="str">
        <f>TEXT($B$3,0) &amp;" ----- "&amp;'Data - IA'!B18</f>
        <v>Frame: 51 ----- Stem: Integrated ----- Aerobar:+ 30</v>
      </c>
      <c r="C16">
        <f>$D$4+'Data - IA'!D18</f>
        <v>604</v>
      </c>
      <c r="D16">
        <f t="shared" si="0"/>
        <v>605</v>
      </c>
      <c r="E16" t="str">
        <f>'Data - IA'!F18&amp;" "</f>
        <v xml:space="preserve">Stem Bolts: 25mm ----- </v>
      </c>
      <c r="F16" t="str">
        <f>'Data - IA'!I18</f>
        <v xml:space="preserve">Aerobar Bolts: Top 25mm; Bottom 30mm </v>
      </c>
      <c r="G16" t="str">
        <f t="shared" si="1"/>
        <v xml:space="preserve">Stem Bolts: 25mm -----  Aerobar Bolts: Top 25mm; Bottom 30mm </v>
      </c>
    </row>
    <row r="17" spans="2:7" x14ac:dyDescent="0.25">
      <c r="B17" t="str">
        <f>TEXT($B$3,0) &amp;" ----- "&amp;'Data - IA'!B19</f>
        <v>Frame: 51 ----- Stem: Integrated ----- Aerobar:+ 20 + bridge + 5</v>
      </c>
      <c r="C17">
        <f>$D$4+'Data - IA'!D19</f>
        <v>604</v>
      </c>
      <c r="D17">
        <f t="shared" si="0"/>
        <v>605</v>
      </c>
      <c r="E17" t="str">
        <f>'Data - IA'!F19&amp;" "</f>
        <v xml:space="preserve">Stem Bolts: 25mm ----- </v>
      </c>
      <c r="F17" t="str">
        <f>'Data - IA'!I19</f>
        <v xml:space="preserve">Aerobar Bolts: Top 30mm; Bottom 30mm </v>
      </c>
      <c r="G17" t="str">
        <f t="shared" si="1"/>
        <v xml:space="preserve">Stem Bolts: 25mm -----  Aerobar Bolts: Top 30mm; Bottom 30mm </v>
      </c>
    </row>
    <row r="18" spans="2:7" x14ac:dyDescent="0.25">
      <c r="B18" t="str">
        <f>TEXT($B$3,0) &amp;" ----- "&amp;'Data - IA'!B20</f>
        <v>Frame: 51 ----- Stem: Integrated ----- Aerobar:+ 30 + bridge</v>
      </c>
      <c r="C18">
        <f>$D$4+'Data - IA'!D20</f>
        <v>609</v>
      </c>
      <c r="D18">
        <f t="shared" si="0"/>
        <v>610</v>
      </c>
      <c r="E18" t="str">
        <f>'Data - IA'!F20&amp;" "</f>
        <v xml:space="preserve">Stem Bolts: 25mm ----- </v>
      </c>
      <c r="F18" t="str">
        <f>'Data - IA'!I20</f>
        <v xml:space="preserve">Aerobar Bolts: Top 30mm; Bottom 30mm </v>
      </c>
      <c r="G18" t="str">
        <f t="shared" si="1"/>
        <v xml:space="preserve">Stem Bolts: 25mm -----  Aerobar Bolts: Top 30mm; Bottom 30mm </v>
      </c>
    </row>
    <row r="19" spans="2:7" x14ac:dyDescent="0.25">
      <c r="B19" t="str">
        <f>TEXT($B$3,0) &amp;" ----- "&amp;'Data - IA'!B21</f>
        <v>Frame: 51 ----- Stem: Integrated ----- Aerobar:+ 30 + bridge + 5</v>
      </c>
      <c r="C19">
        <f>$D$4+'Data - IA'!D21</f>
        <v>614</v>
      </c>
      <c r="D19">
        <f t="shared" si="0"/>
        <v>615</v>
      </c>
      <c r="E19" t="str">
        <f>'Data - IA'!F21&amp;" "</f>
        <v xml:space="preserve">Stem Bolts: 25mm ----- </v>
      </c>
      <c r="F19" t="str">
        <f>'Data - IA'!I21</f>
        <v xml:space="preserve">Aerobar Bolts: Top 35mm; Bottom 30mm </v>
      </c>
      <c r="G19" t="str">
        <f t="shared" si="1"/>
        <v xml:space="preserve">Stem Bolts: 25mm -----  Aerobar Bolts: Top 35mm; Bottom 30mm </v>
      </c>
    </row>
    <row r="20" spans="2:7" x14ac:dyDescent="0.25">
      <c r="B20" t="str">
        <f>TEXT($B$3,0) &amp;" ----- "&amp;'Data - IA'!B22</f>
        <v>Frame: 51 ----- Stem: Integrated ----- Aerobar:+ 40 + bridge</v>
      </c>
      <c r="C20">
        <f>$D$4+'Data - IA'!D22</f>
        <v>619</v>
      </c>
      <c r="D20">
        <f t="shared" si="0"/>
        <v>620</v>
      </c>
      <c r="E20" t="str">
        <f>'Data - IA'!F22&amp;" "</f>
        <v xml:space="preserve">Stem Bolts: 25mm ----- </v>
      </c>
      <c r="F20" t="str">
        <f>'Data - IA'!I22</f>
        <v xml:space="preserve">Aerobar Bolts: Top 35mm; Bottom 30mm </v>
      </c>
      <c r="G20" t="str">
        <f t="shared" si="1"/>
        <v xml:space="preserve">Stem Bolts: 25mm -----  Aerobar Bolts: Top 35mm; Bottom 30mm </v>
      </c>
    </row>
    <row r="21" spans="2:7" x14ac:dyDescent="0.25">
      <c r="B21" t="str">
        <f>TEXT($B$3,0) &amp;" ----- "&amp;'Data - IA'!B23</f>
        <v>Frame: 51 ----- Stem: Integrated ----- Aerobar:+ 40 + bridge + 5</v>
      </c>
      <c r="C21">
        <f>$D$4+'Data - IA'!D23</f>
        <v>624</v>
      </c>
      <c r="D21">
        <f t="shared" si="0"/>
        <v>625</v>
      </c>
      <c r="E21" t="str">
        <f>'Data - IA'!F23&amp;" "</f>
        <v xml:space="preserve">Stem Bolts: 25mm ----- </v>
      </c>
      <c r="F21" t="str">
        <f>'Data - IA'!I23</f>
        <v xml:space="preserve">Aerobar Bolts: Top 35mm; Bottom 30mm </v>
      </c>
      <c r="G21" t="str">
        <f t="shared" si="1"/>
        <v xml:space="preserve">Stem Bolts: 25mm -----  Aerobar Bolts: Top 35mm; Bottom 30mm </v>
      </c>
    </row>
    <row r="22" spans="2:7" x14ac:dyDescent="0.25">
      <c r="B22" t="str">
        <f>TEXT($B$3,0) &amp;" ----- "&amp;'Data - IA'!B24</f>
        <v>Frame: 51 ----- Stem: Integrated ----- Aerobar:+ 40 + bridge + 10</v>
      </c>
      <c r="C22">
        <f>$D$4+'Data - IA'!D24</f>
        <v>629</v>
      </c>
      <c r="D22">
        <f t="shared" si="0"/>
        <v>630</v>
      </c>
      <c r="E22" t="str">
        <f>'Data - IA'!F24&amp;" "</f>
        <v xml:space="preserve">Stem Bolts: 25mm ----- </v>
      </c>
      <c r="F22" t="str">
        <f>'Data - IA'!I24</f>
        <v xml:space="preserve">Aerobar Bolts: Top 40mm; Bottom 30mm </v>
      </c>
      <c r="G22" t="str">
        <f t="shared" si="1"/>
        <v xml:space="preserve">Stem Bolts: 25mm -----  Aerobar Bolts: Top 40mm; Bottom 30mm </v>
      </c>
    </row>
    <row r="23" spans="2:7" x14ac:dyDescent="0.25">
      <c r="B23" t="str">
        <f>TEXT($B$3,0) &amp;" ----- "&amp;'Data - IA'!B25</f>
        <v>Frame: 51 ----- Stem: Integrated ----- Aerobar:+ 40 + bridge + 10 + 5</v>
      </c>
      <c r="C23">
        <f>$D$4+'Data - IA'!D25</f>
        <v>634</v>
      </c>
      <c r="D23">
        <f t="shared" si="0"/>
        <v>635</v>
      </c>
      <c r="E23" t="str">
        <f>'Data - IA'!F25&amp;" "</f>
        <v xml:space="preserve">Stem Bolts: 25mm ----- </v>
      </c>
      <c r="F23" t="str">
        <f>'Data - IA'!I25</f>
        <v xml:space="preserve">Aerobar Bolts: Top 45mm; Bottom 30mm </v>
      </c>
      <c r="G23" t="str">
        <f t="shared" si="1"/>
        <v xml:space="preserve">Stem Bolts: 25mm -----  Aerobar Bolts: Top 45mm; Bottom 30mm </v>
      </c>
    </row>
    <row r="24" spans="2:7" x14ac:dyDescent="0.25">
      <c r="B24" t="str">
        <f>TEXT($B$3,0) &amp;" ----- "&amp;'Data - IA'!B26</f>
        <v xml:space="preserve">Frame: 51 ----- Stem: Integrated w/15 ----- Aerobar: </v>
      </c>
      <c r="D24">
        <f t="shared" si="0"/>
        <v>0</v>
      </c>
      <c r="E24" t="str">
        <f>'Data - IA'!F26&amp;" "</f>
        <v xml:space="preserve">Stem Bolts: 40mm ----- </v>
      </c>
      <c r="F24" t="str">
        <f>'Data - IA'!I26</f>
        <v xml:space="preserve">Aerobar Bolts: Top N/A; Bottom N/A </v>
      </c>
      <c r="G24" t="str">
        <f t="shared" si="1"/>
        <v xml:space="preserve">Stem Bolts: 40mm -----  Aerobar Bolts: Top N/A; Bottom N/A </v>
      </c>
    </row>
    <row r="25" spans="2:7" x14ac:dyDescent="0.25">
      <c r="B25" t="str">
        <f>TEXT($B$3,0) &amp;" ----- "&amp;'Data - IA'!B27</f>
        <v>Frame: 51 ----- Stem: Integrated w/15 ----- Aerobar: + 5</v>
      </c>
      <c r="C25">
        <f>$D$4+'Data - IA'!D27</f>
        <v>594</v>
      </c>
      <c r="D25">
        <f t="shared" si="0"/>
        <v>595</v>
      </c>
      <c r="E25" t="str">
        <f>'Data - IA'!F27&amp;" "</f>
        <v xml:space="preserve">Stem Bolts: 40mm ----- </v>
      </c>
      <c r="F25" t="str">
        <f>'Data - IA'!I27</f>
        <v xml:space="preserve">Aerobar Bolts: Top 45mm; Bottom N/A </v>
      </c>
      <c r="G25" t="str">
        <f t="shared" si="1"/>
        <v xml:space="preserve">Stem Bolts: 40mm -----  Aerobar Bolts: Top 45mm; Bottom N/A </v>
      </c>
    </row>
    <row r="26" spans="2:7" x14ac:dyDescent="0.25">
      <c r="B26" t="str">
        <f>TEXT($B$3,0) &amp;" ----- "&amp;'Data - IA'!B28</f>
        <v>Frame: 51 ----- Stem: Integrated w/15 ----- Aerobar: + 10</v>
      </c>
      <c r="C26">
        <f>$D$4+'Data - IA'!D28</f>
        <v>599</v>
      </c>
      <c r="D26">
        <f t="shared" si="0"/>
        <v>600</v>
      </c>
      <c r="E26" t="str">
        <f>'Data - IA'!F28&amp;" "</f>
        <v xml:space="preserve">Stem Bolts: 40mm ----- </v>
      </c>
      <c r="F26" t="str">
        <f>'Data - IA'!I28</f>
        <v xml:space="preserve">Aerobar Bolts: Top 50mm; Bottom N/A </v>
      </c>
      <c r="G26" t="str">
        <f t="shared" si="1"/>
        <v xml:space="preserve">Stem Bolts: 40mm -----  Aerobar Bolts: Top 50mm; Bottom N/A </v>
      </c>
    </row>
    <row r="27" spans="2:7" x14ac:dyDescent="0.25">
      <c r="B27" t="str">
        <f>TEXT($B$3,0) &amp;" ----- "&amp;'Data - IA'!B29</f>
        <v>Frame: 51 ----- Stem: Integrated w/15 ----- Aerobar: + 5 + 10</v>
      </c>
      <c r="C27">
        <f>$D$4+'Data - IA'!D29</f>
        <v>604</v>
      </c>
      <c r="D27">
        <f t="shared" si="0"/>
        <v>605</v>
      </c>
      <c r="E27" t="str">
        <f>'Data - IA'!F29&amp;" "</f>
        <v xml:space="preserve">Stem Bolts: 40mm ----- </v>
      </c>
      <c r="F27" t="str">
        <f>'Data - IA'!I29</f>
        <v xml:space="preserve">Aerobar Bolts: Top 55mm; Bottom N/A </v>
      </c>
      <c r="G27" t="str">
        <f t="shared" si="1"/>
        <v xml:space="preserve">Stem Bolts: 40mm -----  Aerobar Bolts: Top 55mm; Bottom N/A </v>
      </c>
    </row>
    <row r="28" spans="2:7" x14ac:dyDescent="0.25">
      <c r="B28" t="str">
        <f>TEXT($B$3,0) &amp;" ----- "&amp;'Data - IA'!B30</f>
        <v>Frame: 51 ----- Stem: Integrated w/15 ----- Aerobar: + 20</v>
      </c>
      <c r="C28">
        <f>$D$4+'Data - IA'!D30</f>
        <v>609</v>
      </c>
      <c r="D28">
        <f t="shared" si="0"/>
        <v>610</v>
      </c>
      <c r="E28" t="str">
        <f>'Data - IA'!F30&amp;" "</f>
        <v xml:space="preserve">Stem Bolts: 40mm ----- </v>
      </c>
      <c r="F28" t="str">
        <f>'Data - IA'!I30</f>
        <v xml:space="preserve">Aerobar Bolts: Top 20mm; Bottom 30mm </v>
      </c>
      <c r="G28" t="str">
        <f t="shared" si="1"/>
        <v xml:space="preserve">Stem Bolts: 40mm -----  Aerobar Bolts: Top 20mm; Bottom 30mm </v>
      </c>
    </row>
    <row r="29" spans="2:7" x14ac:dyDescent="0.25">
      <c r="B29" t="str">
        <f>TEXT($B$3,0) &amp;" ----- "&amp;'Data - IA'!B31</f>
        <v>Frame: 51 ----- Stem: Integrated w/15 ----- Aerobar: + 20 + 5</v>
      </c>
      <c r="C29">
        <f>$D$4+'Data - IA'!D31</f>
        <v>614</v>
      </c>
      <c r="D29">
        <f t="shared" si="0"/>
        <v>615</v>
      </c>
      <c r="E29" t="str">
        <f>'Data - IA'!F31&amp;" "</f>
        <v xml:space="preserve">Stem Bolts: 40mm ----- </v>
      </c>
      <c r="F29" t="str">
        <f>'Data - IA'!I31</f>
        <v xml:space="preserve">Aerobar Bolts: Top 25mm; Bottom 30mm </v>
      </c>
      <c r="G29" t="str">
        <f t="shared" si="1"/>
        <v xml:space="preserve">Stem Bolts: 40mm -----  Aerobar Bolts: Top 25mm; Bottom 30mm </v>
      </c>
    </row>
    <row r="30" spans="2:7" x14ac:dyDescent="0.25">
      <c r="B30" t="str">
        <f>TEXT($B$3,0) &amp;" ----- "&amp;'Data - IA'!B32</f>
        <v>Frame: 51 ----- Stem: Integrated w/15 ----- Aerobar: + 20 + bridge</v>
      </c>
      <c r="C30">
        <f>$D$4+'Data - IA'!D32</f>
        <v>614</v>
      </c>
      <c r="D30">
        <f t="shared" si="0"/>
        <v>615</v>
      </c>
      <c r="E30" t="str">
        <f>'Data - IA'!F32&amp;" "</f>
        <v xml:space="preserve">Stem Bolts: 40mm ----- </v>
      </c>
      <c r="F30" t="str">
        <f>'Data - IA'!I32</f>
        <v xml:space="preserve">Aerobar Bolts: Top 25mm; Bottom 30mm </v>
      </c>
      <c r="G30" t="str">
        <f t="shared" si="1"/>
        <v xml:space="preserve">Stem Bolts: 40mm -----  Aerobar Bolts: Top 25mm; Bottom 30mm </v>
      </c>
    </row>
    <row r="31" spans="2:7" x14ac:dyDescent="0.25">
      <c r="B31" t="str">
        <f>TEXT($B$3,0) &amp;" ----- "&amp;'Data - IA'!B33</f>
        <v>Frame: 51 ----- Stem: Integrated w/15 ----- Aerobar: + 30</v>
      </c>
      <c r="C31">
        <f>$D$4+'Data - IA'!D33</f>
        <v>619</v>
      </c>
      <c r="D31">
        <f t="shared" si="0"/>
        <v>620</v>
      </c>
      <c r="E31" t="str">
        <f>'Data - IA'!F33&amp;" "</f>
        <v xml:space="preserve">Stem Bolts: 40mm ----- </v>
      </c>
      <c r="F31" t="str">
        <f>'Data - IA'!I33</f>
        <v xml:space="preserve">Aerobar Bolts: Top 25mm; Bottom 30mm </v>
      </c>
      <c r="G31" t="str">
        <f t="shared" si="1"/>
        <v xml:space="preserve">Stem Bolts: 40mm -----  Aerobar Bolts: Top 25mm; Bottom 30mm </v>
      </c>
    </row>
    <row r="32" spans="2:7" x14ac:dyDescent="0.25">
      <c r="B32" t="str">
        <f>TEXT($B$3,0) &amp;" ----- "&amp;'Data - IA'!B34</f>
        <v>Frame: 51 ----- Stem: Integrated w/15 ----- Aerobar: + 20 + bridge + 5</v>
      </c>
      <c r="C32">
        <f>$D$4+'Data - IA'!D34</f>
        <v>619</v>
      </c>
      <c r="D32">
        <f t="shared" si="0"/>
        <v>620</v>
      </c>
      <c r="E32" t="str">
        <f>'Data - IA'!F34&amp;" "</f>
        <v xml:space="preserve">Stem Bolts: 40mm ----- </v>
      </c>
      <c r="F32" t="str">
        <f>'Data - IA'!I34</f>
        <v xml:space="preserve">Aerobar Bolts: Top 30mm; Bottom 30mm </v>
      </c>
      <c r="G32" t="str">
        <f t="shared" si="1"/>
        <v xml:space="preserve">Stem Bolts: 40mm -----  Aerobar Bolts: Top 30mm; Bottom 30mm </v>
      </c>
    </row>
    <row r="33" spans="2:7" x14ac:dyDescent="0.25">
      <c r="B33" t="str">
        <f>TEXT($B$3,0) &amp;" ----- "&amp;'Data - IA'!B35</f>
        <v>Frame: 51 ----- Stem: Integrated w/15 ----- Aerobar: + 30 + bridge</v>
      </c>
      <c r="C33">
        <f>$D$4+'Data - IA'!D35</f>
        <v>624</v>
      </c>
      <c r="D33">
        <f t="shared" si="0"/>
        <v>625</v>
      </c>
      <c r="E33" t="str">
        <f>'Data - IA'!F35&amp;" "</f>
        <v xml:space="preserve">Stem Bolts: 40mm ----- </v>
      </c>
      <c r="F33" t="str">
        <f>'Data - IA'!I35</f>
        <v xml:space="preserve">Aerobar Bolts: Top 30mm; Bottom 30mm </v>
      </c>
      <c r="G33" t="str">
        <f t="shared" ref="G33:G56" si="2">E33&amp;" "&amp;F33</f>
        <v xml:space="preserve">Stem Bolts: 40mm -----  Aerobar Bolts: Top 30mm; Bottom 30mm </v>
      </c>
    </row>
    <row r="34" spans="2:7" x14ac:dyDescent="0.25">
      <c r="B34" t="str">
        <f>TEXT($B$3,0) &amp;" ----- "&amp;'Data - IA'!B36</f>
        <v>Frame: 51 ----- Stem: Integrated w/15 ----- Aerobar: + 30 + bridge + 5</v>
      </c>
      <c r="C34">
        <f>$D$4+'Data - IA'!D36</f>
        <v>629</v>
      </c>
      <c r="D34">
        <f t="shared" si="0"/>
        <v>630</v>
      </c>
      <c r="E34" t="str">
        <f>'Data - IA'!F36&amp;" "</f>
        <v xml:space="preserve">Stem Bolts: 40mm ----- </v>
      </c>
      <c r="F34" t="str">
        <f>'Data - IA'!I36</f>
        <v xml:space="preserve">Aerobar Bolts: Top 35mm; Bottom 30mm </v>
      </c>
      <c r="G34" t="str">
        <f t="shared" si="2"/>
        <v xml:space="preserve">Stem Bolts: 40mm -----  Aerobar Bolts: Top 35mm; Bottom 30mm </v>
      </c>
    </row>
    <row r="35" spans="2:7" x14ac:dyDescent="0.25">
      <c r="B35" t="str">
        <f>TEXT($B$3,0) &amp;" ----- "&amp;'Data - IA'!B37</f>
        <v>Frame: 51 ----- Stem: Integrated w/15 ----- Aerobar: + 40 + bridge</v>
      </c>
      <c r="C35">
        <f>$D$4+'Data - IA'!D37</f>
        <v>634</v>
      </c>
      <c r="D35">
        <f t="shared" si="0"/>
        <v>635</v>
      </c>
      <c r="E35" t="str">
        <f>'Data - IA'!F37&amp;" "</f>
        <v xml:space="preserve">Stem Bolts: 40mm ----- </v>
      </c>
      <c r="F35" t="str">
        <f>'Data - IA'!I37</f>
        <v xml:space="preserve">Aerobar Bolts: Top 35mm; Bottom 30mm </v>
      </c>
      <c r="G35" t="str">
        <f t="shared" si="2"/>
        <v xml:space="preserve">Stem Bolts: 40mm -----  Aerobar Bolts: Top 35mm; Bottom 30mm </v>
      </c>
    </row>
    <row r="36" spans="2:7" x14ac:dyDescent="0.25">
      <c r="B36" t="str">
        <f>TEXT($B$3,0) &amp;" ----- "&amp;'Data - IA'!B38</f>
        <v>Frame: 51 ----- Stem: Integrated w/15 ----- Aerobar: + 40 + bridge + 5</v>
      </c>
      <c r="C36">
        <f>$D$4+'Data - IA'!D38</f>
        <v>639</v>
      </c>
      <c r="D36">
        <f t="shared" si="0"/>
        <v>640</v>
      </c>
      <c r="E36" t="str">
        <f>'Data - IA'!F38&amp;" "</f>
        <v xml:space="preserve">Stem Bolts: 40mm ----- </v>
      </c>
      <c r="F36" t="str">
        <f>'Data - IA'!I38</f>
        <v xml:space="preserve">Aerobar Bolts: Top 35mm; Bottom 30mm </v>
      </c>
      <c r="G36" t="str">
        <f t="shared" si="2"/>
        <v xml:space="preserve">Stem Bolts: 40mm -----  Aerobar Bolts: Top 35mm; Bottom 30mm </v>
      </c>
    </row>
    <row r="37" spans="2:7" x14ac:dyDescent="0.25">
      <c r="B37" t="str">
        <f>TEXT($B$3,0) &amp;" ----- "&amp;'Data - IA'!B39</f>
        <v>Frame: 51 ----- Stem: Integrated w/15 ----- Aerobar: + 40 + bridge + 10</v>
      </c>
      <c r="C37">
        <f>$D$4+'Data - IA'!D39</f>
        <v>644</v>
      </c>
      <c r="D37">
        <f t="shared" si="0"/>
        <v>645</v>
      </c>
      <c r="E37" t="str">
        <f>'Data - IA'!F39&amp;" "</f>
        <v xml:space="preserve">Stem Bolts: 40mm ----- </v>
      </c>
      <c r="F37" t="str">
        <f>'Data - IA'!I39</f>
        <v xml:space="preserve">Aerobar Bolts: Top 40mm; Bottom 30mm </v>
      </c>
      <c r="G37" t="str">
        <f t="shared" si="2"/>
        <v xml:space="preserve">Stem Bolts: 40mm -----  Aerobar Bolts: Top 40mm; Bottom 30mm </v>
      </c>
    </row>
    <row r="38" spans="2:7" x14ac:dyDescent="0.25">
      <c r="B38" t="str">
        <f>TEXT($B$3,0) &amp;" ----- "&amp;'Data - IA'!B40</f>
        <v>Frame: 51 ----- Stem: Integrated w/15 ----- Aerobar: + 40 + bridge + 10 + 5</v>
      </c>
      <c r="C38">
        <f>$D$4+'Data - IA'!D40</f>
        <v>649</v>
      </c>
      <c r="D38">
        <f t="shared" si="0"/>
        <v>650</v>
      </c>
      <c r="E38" t="str">
        <f>'Data - IA'!F40&amp;" "</f>
        <v xml:space="preserve">Stem Bolts: 40mm ----- </v>
      </c>
      <c r="F38" t="str">
        <f>'Data - IA'!I40</f>
        <v xml:space="preserve">Aerobar Bolts: Top 45mm; Bottom 30mm </v>
      </c>
      <c r="G38" t="str">
        <f t="shared" si="2"/>
        <v xml:space="preserve">Stem Bolts: 40mm -----  Aerobar Bolts: Top 45mm; Bottom 30mm </v>
      </c>
    </row>
    <row r="39" spans="2:7" x14ac:dyDescent="0.25">
      <c r="B39" t="str">
        <f>TEXT($B$3,0) &amp;" ----- "&amp;'Data - IA'!B41</f>
        <v xml:space="preserve">Frame: 51 ----- Stem: Integrated w/30 ----- Aerobar: </v>
      </c>
      <c r="D39">
        <f t="shared" si="0"/>
        <v>0</v>
      </c>
      <c r="E39" t="str">
        <f>'Data - IA'!F41&amp;" "</f>
        <v xml:space="preserve">Stem Bolts: 55mm ----- </v>
      </c>
      <c r="F39" t="str">
        <f>'Data - IA'!I41</f>
        <v xml:space="preserve">Aerobar Bolts: Top N/A; Bottom N/A </v>
      </c>
      <c r="G39" t="str">
        <f t="shared" si="2"/>
        <v xml:space="preserve">Stem Bolts: 55mm -----  Aerobar Bolts: Top N/A; Bottom N/A </v>
      </c>
    </row>
    <row r="40" spans="2:7" x14ac:dyDescent="0.25">
      <c r="B40" t="str">
        <f>TEXT($B$3,0) &amp;" ----- "&amp;'Data - IA'!B42</f>
        <v>Frame: 51 ----- Stem: Integrated w/30 ----- Aerobar: + 5</v>
      </c>
      <c r="C40">
        <f>$D$4+'Data - IA'!D42</f>
        <v>609</v>
      </c>
      <c r="D40">
        <f t="shared" si="0"/>
        <v>610</v>
      </c>
      <c r="E40" t="str">
        <f>'Data - IA'!F42&amp;" "</f>
        <v xml:space="preserve">Stem Bolts: 55mm ----- </v>
      </c>
      <c r="F40" t="str">
        <f>'Data - IA'!I42</f>
        <v xml:space="preserve">Aerobar Bolts: Top 45mm; Bottom N/A </v>
      </c>
      <c r="G40" t="str">
        <f t="shared" si="2"/>
        <v xml:space="preserve">Stem Bolts: 55mm -----  Aerobar Bolts: Top 45mm; Bottom N/A </v>
      </c>
    </row>
    <row r="41" spans="2:7" x14ac:dyDescent="0.25">
      <c r="B41" t="str">
        <f>TEXT($B$3,0) &amp;" ----- "&amp;'Data - IA'!B43</f>
        <v>Frame: 51 ----- Stem: Integrated w/30 ----- Aerobar: + 10</v>
      </c>
      <c r="C41">
        <f>$D$4+'Data - IA'!D43</f>
        <v>614</v>
      </c>
      <c r="D41">
        <f t="shared" ref="D41:D83" si="3">ROUND(C41/5,0)*5</f>
        <v>615</v>
      </c>
      <c r="E41" t="str">
        <f>'Data - IA'!F43&amp;" "</f>
        <v xml:space="preserve">Stem Bolts: 55mm ----- </v>
      </c>
      <c r="F41" t="str">
        <f>'Data - IA'!I43</f>
        <v xml:space="preserve">Aerobar Bolts: Top 50mm; Bottom N/A </v>
      </c>
      <c r="G41" t="str">
        <f t="shared" si="2"/>
        <v xml:space="preserve">Stem Bolts: 55mm -----  Aerobar Bolts: Top 50mm; Bottom N/A </v>
      </c>
    </row>
    <row r="42" spans="2:7" x14ac:dyDescent="0.25">
      <c r="B42" t="str">
        <f>TEXT($B$3,0) &amp;" ----- "&amp;'Data - IA'!B44</f>
        <v>Frame: 51 ----- Stem: Integrated w/30 ----- Aerobar: + 5 + 10</v>
      </c>
      <c r="C42">
        <f>$D$4+'Data - IA'!D44</f>
        <v>619</v>
      </c>
      <c r="D42">
        <f t="shared" si="3"/>
        <v>620</v>
      </c>
      <c r="E42" t="str">
        <f>'Data - IA'!F44&amp;" "</f>
        <v xml:space="preserve">Stem Bolts: 55mm ----- </v>
      </c>
      <c r="F42" t="str">
        <f>'Data - IA'!I44</f>
        <v xml:space="preserve">Aerobar Bolts: Top 55mm; Bottom N/A </v>
      </c>
      <c r="G42" t="str">
        <f t="shared" si="2"/>
        <v xml:space="preserve">Stem Bolts: 55mm -----  Aerobar Bolts: Top 55mm; Bottom N/A </v>
      </c>
    </row>
    <row r="43" spans="2:7" x14ac:dyDescent="0.25">
      <c r="B43" t="str">
        <f>TEXT($B$3,0) &amp;" ----- "&amp;'Data - IA'!B45</f>
        <v>Frame: 51 ----- Stem: Integrated w/30 ----- Aerobar: + 20</v>
      </c>
      <c r="C43">
        <f>$D$4+'Data - IA'!D45</f>
        <v>624</v>
      </c>
      <c r="D43">
        <f t="shared" si="3"/>
        <v>625</v>
      </c>
      <c r="E43" t="str">
        <f>'Data - IA'!F45&amp;" "</f>
        <v xml:space="preserve">Stem Bolts: 55mm ----- </v>
      </c>
      <c r="F43" t="str">
        <f>'Data - IA'!I45</f>
        <v xml:space="preserve">Aerobar Bolts: Top 20mm; Bottom 30mm </v>
      </c>
      <c r="G43" t="str">
        <f t="shared" si="2"/>
        <v xml:space="preserve">Stem Bolts: 55mm -----  Aerobar Bolts: Top 20mm; Bottom 30mm </v>
      </c>
    </row>
    <row r="44" spans="2:7" x14ac:dyDescent="0.25">
      <c r="B44" t="str">
        <f>TEXT($B$3,0) &amp;" ----- "&amp;'Data - IA'!B46</f>
        <v>Frame: 51 ----- Stem: Integrated w/30 ----- Aerobar: + 20 + 5</v>
      </c>
      <c r="C44">
        <f>$D$4+'Data - IA'!D46</f>
        <v>629</v>
      </c>
      <c r="D44">
        <f t="shared" si="3"/>
        <v>630</v>
      </c>
      <c r="E44" t="str">
        <f>'Data - IA'!F46&amp;" "</f>
        <v xml:space="preserve">Stem Bolts: 55mm ----- </v>
      </c>
      <c r="F44" t="str">
        <f>'Data - IA'!I46</f>
        <v xml:space="preserve">Aerobar Bolts: Top 25mm; Bottom 30mm </v>
      </c>
      <c r="G44" t="str">
        <f t="shared" si="2"/>
        <v xml:space="preserve">Stem Bolts: 55mm -----  Aerobar Bolts: Top 25mm; Bottom 30mm </v>
      </c>
    </row>
    <row r="45" spans="2:7" x14ac:dyDescent="0.25">
      <c r="B45" t="str">
        <f>TEXT($B$3,0) &amp;" ----- "&amp;'Data - IA'!B47</f>
        <v>Frame: 51 ----- Stem: Integrated w/30 ----- Aerobar: + 20 + bridge</v>
      </c>
      <c r="C45">
        <f>$D$4+'Data - IA'!D47</f>
        <v>629</v>
      </c>
      <c r="D45">
        <f t="shared" si="3"/>
        <v>630</v>
      </c>
      <c r="E45" t="str">
        <f>'Data - IA'!F47&amp;" "</f>
        <v xml:space="preserve">Stem Bolts: 55mm ----- </v>
      </c>
      <c r="F45" t="str">
        <f>'Data - IA'!I47</f>
        <v xml:space="preserve">Aerobar Bolts: Top 25mm; Bottom 30mm </v>
      </c>
      <c r="G45" t="str">
        <f t="shared" si="2"/>
        <v xml:space="preserve">Stem Bolts: 55mm -----  Aerobar Bolts: Top 25mm; Bottom 30mm </v>
      </c>
    </row>
    <row r="46" spans="2:7" x14ac:dyDescent="0.25">
      <c r="B46" t="str">
        <f>TEXT($B$3,0) &amp;" ----- "&amp;'Data - IA'!B48</f>
        <v>Frame: 51 ----- Stem: Integrated w/30 ----- Aerobar: + 30</v>
      </c>
      <c r="C46">
        <f>$D$4+'Data - IA'!D48</f>
        <v>634</v>
      </c>
      <c r="D46">
        <f t="shared" si="3"/>
        <v>635</v>
      </c>
      <c r="E46" t="str">
        <f>'Data - IA'!F48&amp;" "</f>
        <v xml:space="preserve">Stem Bolts: 55mm ----- </v>
      </c>
      <c r="F46" t="str">
        <f>'Data - IA'!I48</f>
        <v xml:space="preserve">Aerobar Bolts: Top 25mm; Bottom 30mm </v>
      </c>
      <c r="G46" t="str">
        <f t="shared" si="2"/>
        <v xml:space="preserve">Stem Bolts: 55mm -----  Aerobar Bolts: Top 25mm; Bottom 30mm </v>
      </c>
    </row>
    <row r="47" spans="2:7" x14ac:dyDescent="0.25">
      <c r="B47" t="str">
        <f>TEXT($B$3,0) &amp;" ----- "&amp;'Data - IA'!B49</f>
        <v>Frame: 51 ----- Stem: Integrated w/30 ----- Aerobar: + 20 + bridge + 5</v>
      </c>
      <c r="C47">
        <f>$D$4+'Data - IA'!D49</f>
        <v>634</v>
      </c>
      <c r="D47">
        <f t="shared" si="3"/>
        <v>635</v>
      </c>
      <c r="E47" t="str">
        <f>'Data - IA'!F49&amp;" "</f>
        <v xml:space="preserve">Stem Bolts: 55mm ----- </v>
      </c>
      <c r="F47" t="str">
        <f>'Data - IA'!I49</f>
        <v xml:space="preserve">Aerobar Bolts: Top 30mm; Bottom 30mm </v>
      </c>
      <c r="G47" t="str">
        <f t="shared" si="2"/>
        <v xml:space="preserve">Stem Bolts: 55mm -----  Aerobar Bolts: Top 30mm; Bottom 30mm </v>
      </c>
    </row>
    <row r="48" spans="2:7" x14ac:dyDescent="0.25">
      <c r="B48" t="str">
        <f>TEXT($B$3,0) &amp;" ----- "&amp;'Data - IA'!B50</f>
        <v>Frame: 51 ----- Stem: Integrated w/30 ----- Aerobar: + 30 + bridge</v>
      </c>
      <c r="C48">
        <f>$D$4+'Data - IA'!D50</f>
        <v>639</v>
      </c>
      <c r="D48">
        <f t="shared" si="3"/>
        <v>640</v>
      </c>
      <c r="E48" t="str">
        <f>'Data - IA'!F50&amp;" "</f>
        <v xml:space="preserve">Stem Bolts: 55mm ----- </v>
      </c>
      <c r="F48" t="str">
        <f>'Data - IA'!I50</f>
        <v xml:space="preserve">Aerobar Bolts: Top 30mm; Bottom 30mm </v>
      </c>
      <c r="G48" t="str">
        <f t="shared" si="2"/>
        <v xml:space="preserve">Stem Bolts: 55mm -----  Aerobar Bolts: Top 30mm; Bottom 30mm </v>
      </c>
    </row>
    <row r="49" spans="2:7" x14ac:dyDescent="0.25">
      <c r="B49" t="str">
        <f>TEXT($B$3,0) &amp;" ----- "&amp;'Data - IA'!B51</f>
        <v>Frame: 51 ----- Stem: Integrated w/30 ----- Aerobar: + 30 + bridge + 5</v>
      </c>
      <c r="C49">
        <f>$D$4+'Data - IA'!D51</f>
        <v>644</v>
      </c>
      <c r="D49">
        <f t="shared" si="3"/>
        <v>645</v>
      </c>
      <c r="E49" t="str">
        <f>'Data - IA'!F51&amp;" "</f>
        <v xml:space="preserve">Stem Bolts: 55mm ----- </v>
      </c>
      <c r="F49" t="str">
        <f>'Data - IA'!I51</f>
        <v xml:space="preserve">Aerobar Bolts: Top 35mm; Bottom 30mm </v>
      </c>
      <c r="G49" t="str">
        <f t="shared" si="2"/>
        <v xml:space="preserve">Stem Bolts: 55mm -----  Aerobar Bolts: Top 35mm; Bottom 30mm </v>
      </c>
    </row>
    <row r="50" spans="2:7" x14ac:dyDescent="0.25">
      <c r="B50" t="str">
        <f>TEXT($B$3,0) &amp;" ----- "&amp;'Data - IA'!B52</f>
        <v>Frame: 51 ----- Stem: Integrated w/30 ----- Aerobar: + 40 + bridge</v>
      </c>
      <c r="C50">
        <f>$D$4+'Data - IA'!D52</f>
        <v>649</v>
      </c>
      <c r="D50">
        <f t="shared" si="3"/>
        <v>650</v>
      </c>
      <c r="E50" t="str">
        <f>'Data - IA'!F52&amp;" "</f>
        <v xml:space="preserve">Stem Bolts: 55mm ----- </v>
      </c>
      <c r="F50" t="str">
        <f>'Data - IA'!I52</f>
        <v xml:space="preserve">Aerobar Bolts: Top 35mm; Bottom 30mm </v>
      </c>
      <c r="G50" t="str">
        <f t="shared" si="2"/>
        <v xml:space="preserve">Stem Bolts: 55mm -----  Aerobar Bolts: Top 35mm; Bottom 30mm </v>
      </c>
    </row>
    <row r="51" spans="2:7" x14ac:dyDescent="0.25">
      <c r="B51" t="str">
        <f>TEXT($B$3,0) &amp;" ----- "&amp;'Data - IA'!B53</f>
        <v>Frame: 51 ----- Stem: Integrated w/30 ----- Aerobar: + 40 + bridge + 5</v>
      </c>
      <c r="C51">
        <f>$D$4+'Data - IA'!D53</f>
        <v>654</v>
      </c>
      <c r="D51">
        <f t="shared" si="3"/>
        <v>655</v>
      </c>
      <c r="E51" t="str">
        <f>'Data - IA'!F53&amp;" "</f>
        <v xml:space="preserve">Stem Bolts: 55mm ----- </v>
      </c>
      <c r="F51" t="str">
        <f>'Data - IA'!I53</f>
        <v xml:space="preserve">Aerobar Bolts: Top 35mm; Bottom 30mm </v>
      </c>
      <c r="G51" t="str">
        <f t="shared" si="2"/>
        <v xml:space="preserve">Stem Bolts: 55mm -----  Aerobar Bolts: Top 35mm; Bottom 30mm </v>
      </c>
    </row>
    <row r="52" spans="2:7" x14ac:dyDescent="0.25">
      <c r="B52" t="str">
        <f>TEXT($B$3,0) &amp;" ----- "&amp;'Data - IA'!B54</f>
        <v>Frame: 51 ----- Stem: Integrated w/30 ----- Aerobar: + 40 + bridge + 10</v>
      </c>
      <c r="C52">
        <f>$D$4+'Data - IA'!D54</f>
        <v>659</v>
      </c>
      <c r="D52">
        <f t="shared" si="3"/>
        <v>660</v>
      </c>
      <c r="E52" t="str">
        <f>'Data - IA'!F54&amp;" "</f>
        <v xml:space="preserve">Stem Bolts: 55mm ----- </v>
      </c>
      <c r="F52" t="str">
        <f>'Data - IA'!I54</f>
        <v xml:space="preserve">Aerobar Bolts: Top 40mm; Bottom 30mm </v>
      </c>
      <c r="G52" t="str">
        <f t="shared" si="2"/>
        <v xml:space="preserve">Stem Bolts: 55mm -----  Aerobar Bolts: Top 40mm; Bottom 30mm </v>
      </c>
    </row>
    <row r="53" spans="2:7" x14ac:dyDescent="0.25">
      <c r="B53" t="str">
        <f>TEXT($B$3,0) &amp;" ----- "&amp;'Data - IA'!B55</f>
        <v>Frame: 51 ----- Stem: Integrated w/30 ----- Aerobar: + 40 + bridge + 10 + 5</v>
      </c>
      <c r="C53">
        <f>$D$4+'Data - IA'!D55</f>
        <v>664</v>
      </c>
      <c r="D53">
        <f t="shared" si="3"/>
        <v>665</v>
      </c>
      <c r="E53" t="str">
        <f>'Data - IA'!F55&amp;" "</f>
        <v xml:space="preserve">Stem Bolts: 55mm ----- </v>
      </c>
      <c r="F53" t="str">
        <f>'Data - IA'!I55</f>
        <v xml:space="preserve">Aerobar Bolts: Top 45mm; Bottom 30mm </v>
      </c>
      <c r="G53" t="str">
        <f t="shared" si="2"/>
        <v xml:space="preserve">Stem Bolts: 55mm -----  Aerobar Bolts: Top 45mm; Bottom 30mm </v>
      </c>
    </row>
    <row r="54" spans="2:7" x14ac:dyDescent="0.25">
      <c r="B54" t="str">
        <f>TEXT($B$3,0) &amp;" ----- "&amp;'Data - IA'!B56</f>
        <v xml:space="preserve">Frame: 51 ----- Stem: 31.8 ----- Carbon Aerobar: </v>
      </c>
      <c r="D54">
        <f t="shared" si="3"/>
        <v>0</v>
      </c>
      <c r="E54" t="str">
        <f>'Data - IA'!F56&amp;" "</f>
        <v xml:space="preserve">Stem Bolts: N/A ----- </v>
      </c>
      <c r="F54" t="str">
        <f>'Data - IA'!I56</f>
        <v xml:space="preserve">Aerobar Bolts: Top N/A; Bottom N/A </v>
      </c>
      <c r="G54" t="str">
        <f t="shared" si="2"/>
        <v xml:space="preserve">Stem Bolts: N/A -----  Aerobar Bolts: Top N/A; Bottom N/A </v>
      </c>
    </row>
    <row r="55" spans="2:7" x14ac:dyDescent="0.25">
      <c r="B55" t="str">
        <f>TEXT($B$3,0) &amp;" ----- "&amp;'Data - IA'!B57</f>
        <v>Frame: 51 ----- Stem: 31.8 ----- Carbon Aerobar: + 5</v>
      </c>
      <c r="C55">
        <f>$D$4+'Data - IA'!D57</f>
        <v>567</v>
      </c>
      <c r="D55">
        <f t="shared" si="3"/>
        <v>565</v>
      </c>
      <c r="E55" t="str">
        <f>'Data - IA'!F57&amp;" "</f>
        <v xml:space="preserve">Stem Bolts: N/A ----- </v>
      </c>
      <c r="F55" t="str">
        <f>'Data - IA'!I57</f>
        <v xml:space="preserve">Aerobar Bolts: Top 45mm; Bottom N/A </v>
      </c>
      <c r="G55" t="str">
        <f t="shared" si="2"/>
        <v xml:space="preserve">Stem Bolts: N/A -----  Aerobar Bolts: Top 45mm; Bottom N/A </v>
      </c>
    </row>
    <row r="56" spans="2:7" x14ac:dyDescent="0.25">
      <c r="B56" t="str">
        <f>TEXT($B$3,0) &amp;" ----- "&amp;'Data - IA'!B58</f>
        <v>Frame: 51 ----- Stem: 31.8 ----- Carbon Aerobar: + 10</v>
      </c>
      <c r="C56">
        <f>$D$4+'Data - IA'!D58</f>
        <v>572</v>
      </c>
      <c r="D56">
        <f t="shared" si="3"/>
        <v>570</v>
      </c>
      <c r="E56" t="str">
        <f>'Data - IA'!F58&amp;" "</f>
        <v xml:space="preserve">Stem Bolts: N/A ----- </v>
      </c>
      <c r="F56" t="str">
        <f>'Data - IA'!I58</f>
        <v xml:space="preserve">Aerobar Bolts: Top 50mm; Bottom N/A </v>
      </c>
      <c r="G56" t="str">
        <f t="shared" si="2"/>
        <v xml:space="preserve">Stem Bolts: N/A -----  Aerobar Bolts: Top 50mm; Bottom N/A </v>
      </c>
    </row>
    <row r="57" spans="2:7" x14ac:dyDescent="0.25">
      <c r="B57" t="str">
        <f>TEXT($B$3,0) &amp;" ----- "&amp;'Data - IA'!B59</f>
        <v>Frame: 51 ----- Stem: 31.8 ----- Carbon Aerobar: + 5 + 10</v>
      </c>
      <c r="C57">
        <f>$D$4+'Data - IA'!D59</f>
        <v>577</v>
      </c>
      <c r="D57">
        <f t="shared" si="3"/>
        <v>575</v>
      </c>
      <c r="E57" t="str">
        <f>'Data - IA'!F59&amp;" "</f>
        <v xml:space="preserve">Stem Bolts: N/A ----- </v>
      </c>
      <c r="F57" t="str">
        <f>'Data - IA'!I59</f>
        <v xml:space="preserve">Aerobar Bolts: Top 55mm; Bottom N/A </v>
      </c>
      <c r="G57" t="str">
        <f t="shared" ref="G57:G68" si="4">E57&amp;" "&amp;F57</f>
        <v xml:space="preserve">Stem Bolts: N/A -----  Aerobar Bolts: Top 55mm; Bottom N/A </v>
      </c>
    </row>
    <row r="58" spans="2:7" x14ac:dyDescent="0.25">
      <c r="B58" t="str">
        <f>TEXT($B$3,0) &amp;" ----- "&amp;'Data - IA'!B60</f>
        <v>Frame: 51 ----- Stem: 31.8 ----- Carbon Aerobar: + 20</v>
      </c>
      <c r="C58">
        <f>$D$4+'Data - IA'!D60</f>
        <v>582</v>
      </c>
      <c r="D58">
        <f t="shared" si="3"/>
        <v>580</v>
      </c>
      <c r="E58" t="str">
        <f>'Data - IA'!F60&amp;" "</f>
        <v xml:space="preserve">Stem Bolts: N/A ----- </v>
      </c>
      <c r="F58" t="str">
        <f>'Data - IA'!I60</f>
        <v xml:space="preserve">Aerobar Bolts: Top 20mm; Bottom 30mm </v>
      </c>
      <c r="G58" t="str">
        <f t="shared" si="4"/>
        <v xml:space="preserve">Stem Bolts: N/A -----  Aerobar Bolts: Top 20mm; Bottom 30mm </v>
      </c>
    </row>
    <row r="59" spans="2:7" x14ac:dyDescent="0.25">
      <c r="B59" t="str">
        <f>TEXT($B$3,0) &amp;" ----- "&amp;'Data - IA'!B61</f>
        <v>Frame: 51 ----- Stem: 31.8 ----- Carbon Aerobar: + 20 + 5</v>
      </c>
      <c r="C59">
        <f>$D$4+'Data - IA'!D61</f>
        <v>587</v>
      </c>
      <c r="D59">
        <f t="shared" si="3"/>
        <v>585</v>
      </c>
      <c r="E59" t="str">
        <f>'Data - IA'!F61&amp;" "</f>
        <v xml:space="preserve">Stem Bolts: N/A ----- </v>
      </c>
      <c r="F59" t="str">
        <f>'Data - IA'!I61</f>
        <v xml:space="preserve">Aerobar Bolts: Top 25mm; Bottom 30mm </v>
      </c>
      <c r="G59" t="str">
        <f t="shared" si="4"/>
        <v xml:space="preserve">Stem Bolts: N/A -----  Aerobar Bolts: Top 25mm; Bottom 30mm </v>
      </c>
    </row>
    <row r="60" spans="2:7" x14ac:dyDescent="0.25">
      <c r="B60" t="str">
        <f>TEXT($B$3,0) &amp;" ----- "&amp;'Data - IA'!B62</f>
        <v>Frame: 51 ----- Stem: 31.8 ----- Carbon Aerobar: + 20 + bridge</v>
      </c>
      <c r="C60">
        <f>$D$4+'Data - IA'!D62</f>
        <v>587</v>
      </c>
      <c r="D60">
        <f t="shared" si="3"/>
        <v>585</v>
      </c>
      <c r="E60" t="str">
        <f>'Data - IA'!F62&amp;" "</f>
        <v xml:space="preserve">Stem Bolts: N/A ----- </v>
      </c>
      <c r="F60" t="str">
        <f>'Data - IA'!I62</f>
        <v xml:space="preserve">Aerobar Bolts: Top 25mm; Bottom 30mm </v>
      </c>
      <c r="G60" t="str">
        <f t="shared" si="4"/>
        <v xml:space="preserve">Stem Bolts: N/A -----  Aerobar Bolts: Top 25mm; Bottom 30mm </v>
      </c>
    </row>
    <row r="61" spans="2:7" x14ac:dyDescent="0.25">
      <c r="B61" t="str">
        <f>TEXT($B$3,0) &amp;" ----- "&amp;'Data - IA'!B63</f>
        <v>Frame: 51 ----- Stem: 31.8 ----- Carbon Aerobar: + 30</v>
      </c>
      <c r="C61">
        <f>$D$4+'Data - IA'!D63</f>
        <v>592</v>
      </c>
      <c r="D61">
        <f t="shared" si="3"/>
        <v>590</v>
      </c>
      <c r="E61" t="str">
        <f>'Data - IA'!F63&amp;" "</f>
        <v xml:space="preserve">Stem Bolts: N/A ----- </v>
      </c>
      <c r="F61" t="str">
        <f>'Data - IA'!I63</f>
        <v xml:space="preserve">Aerobar Bolts: Top 25mm; Bottom 30mm </v>
      </c>
      <c r="G61" t="str">
        <f t="shared" si="4"/>
        <v xml:space="preserve">Stem Bolts: N/A -----  Aerobar Bolts: Top 25mm; Bottom 30mm </v>
      </c>
    </row>
    <row r="62" spans="2:7" x14ac:dyDescent="0.25">
      <c r="B62" t="str">
        <f>TEXT($B$3,0) &amp;" ----- "&amp;'Data - IA'!B64</f>
        <v>Frame: 51 ----- Stem: 31.8 ----- Carbon Aerobar: + 20 + bridge + 5</v>
      </c>
      <c r="C62">
        <f>$D$4+'Data - IA'!D64</f>
        <v>592</v>
      </c>
      <c r="D62">
        <f t="shared" si="3"/>
        <v>590</v>
      </c>
      <c r="E62" t="str">
        <f>'Data - IA'!F64&amp;" "</f>
        <v xml:space="preserve">Stem Bolts: N/A ----- </v>
      </c>
      <c r="F62" t="str">
        <f>'Data - IA'!I64</f>
        <v xml:space="preserve">Aerobar Bolts: Top 30mm; Bottom 30mm </v>
      </c>
      <c r="G62" t="str">
        <f t="shared" si="4"/>
        <v xml:space="preserve">Stem Bolts: N/A -----  Aerobar Bolts: Top 30mm; Bottom 30mm </v>
      </c>
    </row>
    <row r="63" spans="2:7" x14ac:dyDescent="0.25">
      <c r="B63" t="str">
        <f>TEXT($B$3,0) &amp;" ----- "&amp;'Data - IA'!B65</f>
        <v>Frame: 51 ----- Stem: 31.8 ----- Carbon Aerobar: + 30 + bridge</v>
      </c>
      <c r="C63">
        <f>$D$4+'Data - IA'!D65</f>
        <v>597</v>
      </c>
      <c r="D63">
        <f t="shared" si="3"/>
        <v>595</v>
      </c>
      <c r="E63" t="str">
        <f>'Data - IA'!F65&amp;" "</f>
        <v xml:space="preserve">Stem Bolts: N/A ----- </v>
      </c>
      <c r="F63" t="str">
        <f>'Data - IA'!I65</f>
        <v xml:space="preserve">Aerobar Bolts: Top 30mm; Bottom 30mm </v>
      </c>
      <c r="G63" t="str">
        <f t="shared" si="4"/>
        <v xml:space="preserve">Stem Bolts: N/A -----  Aerobar Bolts: Top 30mm; Bottom 30mm </v>
      </c>
    </row>
    <row r="64" spans="2:7" x14ac:dyDescent="0.25">
      <c r="B64" t="str">
        <f>TEXT($B$3,0) &amp;" ----- "&amp;'Data - IA'!B66</f>
        <v>Frame: 51 ----- Stem: 31.8 ----- Carbon Aerobar: + 30 + bridge + 5</v>
      </c>
      <c r="C64">
        <f>$D$4+'Data - IA'!D66</f>
        <v>602</v>
      </c>
      <c r="D64">
        <f t="shared" si="3"/>
        <v>600</v>
      </c>
      <c r="E64" t="str">
        <f>'Data - IA'!F66&amp;" "</f>
        <v xml:space="preserve">Stem Bolts: N/A ----- </v>
      </c>
      <c r="F64" t="str">
        <f>'Data - IA'!I66</f>
        <v xml:space="preserve">Aerobar Bolts: Top 35mm; Bottom 30mm </v>
      </c>
      <c r="G64" t="str">
        <f t="shared" si="4"/>
        <v xml:space="preserve">Stem Bolts: N/A -----  Aerobar Bolts: Top 35mm; Bottom 30mm </v>
      </c>
    </row>
    <row r="65" spans="2:7" x14ac:dyDescent="0.25">
      <c r="B65" t="str">
        <f>TEXT($B$3,0) &amp;" ----- "&amp;'Data - IA'!B67</f>
        <v>Frame: 51 ----- Stem: 31.8 ----- Carbon Aerobar: + 40 + bridge</v>
      </c>
      <c r="C65">
        <f>$D$4+'Data - IA'!D67</f>
        <v>607</v>
      </c>
      <c r="D65">
        <f t="shared" si="3"/>
        <v>605</v>
      </c>
      <c r="E65" t="str">
        <f>'Data - IA'!F67&amp;" "</f>
        <v xml:space="preserve">Stem Bolts: N/A ----- </v>
      </c>
      <c r="F65" t="str">
        <f>'Data - IA'!I67</f>
        <v xml:space="preserve">Aerobar Bolts: Top 35mm; Bottom 30mm </v>
      </c>
      <c r="G65" t="str">
        <f t="shared" si="4"/>
        <v xml:space="preserve">Stem Bolts: N/A -----  Aerobar Bolts: Top 35mm; Bottom 30mm </v>
      </c>
    </row>
    <row r="66" spans="2:7" x14ac:dyDescent="0.25">
      <c r="B66" t="str">
        <f>TEXT($B$3,0) &amp;" ----- "&amp;'Data - IA'!B68</f>
        <v>Frame: 51 ----- Stem: 31.8 ----- Carbon Aerobar: + 40 + bridge + 5</v>
      </c>
      <c r="C66">
        <f>$D$4+'Data - IA'!D68</f>
        <v>612</v>
      </c>
      <c r="D66">
        <f t="shared" si="3"/>
        <v>610</v>
      </c>
      <c r="E66" t="str">
        <f>'Data - IA'!F68&amp;" "</f>
        <v xml:space="preserve">Stem Bolts: N/A ----- </v>
      </c>
      <c r="F66" t="str">
        <f>'Data - IA'!I68</f>
        <v xml:space="preserve">Aerobar Bolts: Top 35mm; Bottom 30mm </v>
      </c>
      <c r="G66" t="str">
        <f t="shared" si="4"/>
        <v xml:space="preserve">Stem Bolts: N/A -----  Aerobar Bolts: Top 35mm; Bottom 30mm </v>
      </c>
    </row>
    <row r="67" spans="2:7" x14ac:dyDescent="0.25">
      <c r="B67" t="str">
        <f>TEXT($B$3,0) &amp;" ----- "&amp;'Data - IA'!B69</f>
        <v>Frame: 51 ----- Stem: 31.8 ----- Carbon Aerobar: + 40 + bridge + 10</v>
      </c>
      <c r="C67">
        <f>$D$4+'Data - IA'!D69</f>
        <v>617</v>
      </c>
      <c r="D67">
        <f t="shared" si="3"/>
        <v>615</v>
      </c>
      <c r="E67" t="str">
        <f>'Data - IA'!F69&amp;" "</f>
        <v xml:space="preserve">Stem Bolts: N/A ----- </v>
      </c>
      <c r="F67" t="str">
        <f>'Data - IA'!I69</f>
        <v xml:space="preserve">Aerobar Bolts: Top 40mm; Bottom 30mm </v>
      </c>
      <c r="G67" t="str">
        <f t="shared" si="4"/>
        <v xml:space="preserve">Stem Bolts: N/A -----  Aerobar Bolts: Top 40mm; Bottom 30mm </v>
      </c>
    </row>
    <row r="68" spans="2:7" x14ac:dyDescent="0.25">
      <c r="B68" t="str">
        <f>TEXT($B$3,0) &amp;" ----- "&amp;'Data - IA'!B70</f>
        <v>Frame: 51 ----- Stem: 31.8 ----- Carbon Aerobar: + 40 + bridge + 10 + 5</v>
      </c>
      <c r="C68">
        <f>$D$4+'Data - IA'!D70</f>
        <v>622</v>
      </c>
      <c r="D68">
        <f t="shared" si="3"/>
        <v>620</v>
      </c>
      <c r="E68" t="str">
        <f>'Data - IA'!F70&amp;" "</f>
        <v xml:space="preserve">Stem Bolts: N/A ----- </v>
      </c>
      <c r="F68" t="str">
        <f>'Data - IA'!I70</f>
        <v xml:space="preserve">Aerobar Bolts: Top 45mm; Bottom 30mm </v>
      </c>
      <c r="G68" t="str">
        <f t="shared" si="4"/>
        <v xml:space="preserve">Stem Bolts: N/A -----  Aerobar Bolts: Top 45mm; Bottom 30mm </v>
      </c>
    </row>
    <row r="69" spans="2:7" x14ac:dyDescent="0.25">
      <c r="B69" t="str">
        <f>TEXT($B$3,0) &amp;" ----- "&amp;'Data - IA'!B71</f>
        <v xml:space="preserve">Frame: 51 ----- Stem: 31.8 ----- Alloy Aerobar: </v>
      </c>
      <c r="C69">
        <f>$D$4+'Data - IA'!D71</f>
        <v>577</v>
      </c>
      <c r="D69">
        <f t="shared" si="3"/>
        <v>575</v>
      </c>
      <c r="E69" t="str">
        <f>'Data - IA'!F71&amp;" "</f>
        <v xml:space="preserve">Stem Bolts: N/A ----- </v>
      </c>
      <c r="F69" t="str">
        <f>'Data - IA'!I71</f>
        <v xml:space="preserve">Aerobar Bolts: Top 20mm; Bottom N/A </v>
      </c>
      <c r="G69" t="str">
        <f t="shared" ref="G69:G83" si="5">E69&amp;" "&amp;F69</f>
        <v xml:space="preserve">Stem Bolts: N/A -----  Aerobar Bolts: Top 20mm; Bottom N/A </v>
      </c>
    </row>
    <row r="70" spans="2:7" x14ac:dyDescent="0.25">
      <c r="B70" t="str">
        <f>TEXT($B$3,0) &amp;" ----- "&amp;'Data - IA'!B72</f>
        <v>Frame: 51 ----- Stem: 31.8 ----- Alloy Aerobar: + 5</v>
      </c>
      <c r="C70">
        <f>$D$4+'Data - IA'!D72</f>
        <v>582</v>
      </c>
      <c r="D70">
        <f t="shared" si="3"/>
        <v>580</v>
      </c>
      <c r="E70" t="str">
        <f>'Data - IA'!F72&amp;" "</f>
        <v xml:space="preserve">Stem Bolts: N/A ----- </v>
      </c>
      <c r="F70" t="str">
        <f>'Data - IA'!I72</f>
        <v xml:space="preserve">Aerobar Bolts: Top 25mm; Bottom N/A </v>
      </c>
      <c r="G70" t="str">
        <f t="shared" si="5"/>
        <v xml:space="preserve">Stem Bolts: N/A -----  Aerobar Bolts: Top 25mm; Bottom N/A </v>
      </c>
    </row>
    <row r="71" spans="2:7" x14ac:dyDescent="0.25">
      <c r="B71" t="str">
        <f>TEXT($B$3,0) &amp;" ----- "&amp;'Data - IA'!B73</f>
        <v>Frame: 51 ----- Stem: 31.8 ----- Alloy Aerobar: + 10</v>
      </c>
      <c r="C71">
        <f>$D$4+'Data - IA'!D73</f>
        <v>587</v>
      </c>
      <c r="D71">
        <f t="shared" si="3"/>
        <v>585</v>
      </c>
      <c r="E71" t="str">
        <f>'Data - IA'!F73&amp;" "</f>
        <v xml:space="preserve">Stem Bolts: N/A ----- </v>
      </c>
      <c r="F71" t="str">
        <f>'Data - IA'!I73</f>
        <v xml:space="preserve">Aerobar Bolts: Top 30mm; Bottom N/A </v>
      </c>
      <c r="G71" t="str">
        <f t="shared" si="5"/>
        <v xml:space="preserve">Stem Bolts: N/A -----  Aerobar Bolts: Top 30mm; Bottom N/A </v>
      </c>
    </row>
    <row r="72" spans="2:7" x14ac:dyDescent="0.25">
      <c r="B72" t="str">
        <f>TEXT($B$3,0) &amp;" ----- "&amp;'Data - IA'!B74</f>
        <v>Frame: 51 ----- Stem: 31.8 ----- Alloy Aerobar: + 5 + 10</v>
      </c>
      <c r="C72">
        <f>$D$4+'Data - IA'!D74</f>
        <v>592</v>
      </c>
      <c r="D72">
        <f t="shared" si="3"/>
        <v>590</v>
      </c>
      <c r="E72" t="str">
        <f>'Data - IA'!F74&amp;" "</f>
        <v xml:space="preserve">Stem Bolts: N/A ----- </v>
      </c>
      <c r="F72" t="str">
        <f>'Data - IA'!I74</f>
        <v xml:space="preserve">Aerobar Bolts: Top 35mm; Bottom N/A </v>
      </c>
      <c r="G72" t="str">
        <f t="shared" si="5"/>
        <v xml:space="preserve">Stem Bolts: N/A -----  Aerobar Bolts: Top 35mm; Bottom N/A </v>
      </c>
    </row>
    <row r="73" spans="2:7" x14ac:dyDescent="0.25">
      <c r="B73" t="str">
        <f>TEXT($B$3,0) &amp;" ----- "&amp;'Data - IA'!B75</f>
        <v>Frame: 51 ----- Stem: 31.8 ----- Alloy Aerobar: + 20</v>
      </c>
      <c r="C73">
        <f>$D$4+'Data - IA'!D75</f>
        <v>597</v>
      </c>
      <c r="D73">
        <f t="shared" si="3"/>
        <v>595</v>
      </c>
      <c r="E73" t="str">
        <f>'Data - IA'!F75&amp;" "</f>
        <v xml:space="preserve">Stem Bolts: N/A ----- </v>
      </c>
      <c r="F73" t="str">
        <f>'Data - IA'!I75</f>
        <v xml:space="preserve">Aerobar Bolts: Top 20mm; Bottom 15mm </v>
      </c>
      <c r="G73" t="str">
        <f t="shared" si="5"/>
        <v xml:space="preserve">Stem Bolts: N/A -----  Aerobar Bolts: Top 20mm; Bottom 15mm </v>
      </c>
    </row>
    <row r="74" spans="2:7" x14ac:dyDescent="0.25">
      <c r="B74" t="str">
        <f>TEXT($B$3,0) &amp;" ----- "&amp;'Data - IA'!B76</f>
        <v xml:space="preserve">Frame: 51 ----- Stem: 31.8 ----- Alloy Aerobar: + 20 + 5 </v>
      </c>
      <c r="C74">
        <f>$D$4+'Data - IA'!D76</f>
        <v>602</v>
      </c>
      <c r="D74">
        <f t="shared" si="3"/>
        <v>600</v>
      </c>
      <c r="E74" t="str">
        <f>'Data - IA'!F76&amp;" "</f>
        <v xml:space="preserve">Stem Bolts: N/A ----- </v>
      </c>
      <c r="F74" t="str">
        <f>'Data - IA'!I76</f>
        <v xml:space="preserve">Aerobar Bolts: Top 25mm; Bottom 15mm </v>
      </c>
      <c r="G74" t="str">
        <f t="shared" si="5"/>
        <v xml:space="preserve">Stem Bolts: N/A -----  Aerobar Bolts: Top 25mm; Bottom 15mm </v>
      </c>
    </row>
    <row r="75" spans="2:7" x14ac:dyDescent="0.25">
      <c r="B75" t="str">
        <f>TEXT($B$3,0) &amp;" ----- "&amp;'Data - IA'!B77</f>
        <v>Frame: 51 ----- Stem: 31.8 ----- Alloy Aerobar: + 20 + bridge</v>
      </c>
      <c r="C75">
        <f>$D$4+'Data - IA'!D77</f>
        <v>602</v>
      </c>
      <c r="D75">
        <f t="shared" si="3"/>
        <v>600</v>
      </c>
      <c r="E75" t="str">
        <f>'Data - IA'!F77&amp;" "</f>
        <v xml:space="preserve">Stem Bolts: N/A ----- </v>
      </c>
      <c r="F75" t="str">
        <f>'Data - IA'!I77</f>
        <v xml:space="preserve">Aerobar Bolts: Top 25mm; Bottom 15mm </v>
      </c>
      <c r="G75" t="str">
        <f t="shared" si="5"/>
        <v xml:space="preserve">Stem Bolts: N/A -----  Aerobar Bolts: Top 25mm; Bottom 15mm </v>
      </c>
    </row>
    <row r="76" spans="2:7" x14ac:dyDescent="0.25">
      <c r="B76" t="str">
        <f>TEXT($B$3,0) &amp;" ----- "&amp;'Data - IA'!B78</f>
        <v>Frame: 51 ----- Stem: 31.8 ----- Alloy Aerobar: + 20 + bridge + 5</v>
      </c>
      <c r="C76">
        <f>$D$4+'Data - IA'!D78</f>
        <v>607</v>
      </c>
      <c r="D76">
        <f t="shared" si="3"/>
        <v>605</v>
      </c>
      <c r="E76" t="str">
        <f>'Data - IA'!F78&amp;" "</f>
        <v xml:space="preserve">Stem Bolts: N/A ----- </v>
      </c>
      <c r="F76" t="str">
        <f>'Data - IA'!I78</f>
        <v xml:space="preserve">Aerobar Bolts: Top 25mm; Bottom 15mm </v>
      </c>
      <c r="G76" t="str">
        <f t="shared" si="5"/>
        <v xml:space="preserve">Stem Bolts: N/A -----  Aerobar Bolts: Top 25mm; Bottom 15mm </v>
      </c>
    </row>
    <row r="77" spans="2:7" x14ac:dyDescent="0.25">
      <c r="B77" t="str">
        <f>TEXT($B$3,0) &amp;" ----- "&amp;'Data - IA'!B79</f>
        <v>Frame: 51 ----- Stem: 31.8 ----- Alloy Aerobar: + 30</v>
      </c>
      <c r="C77">
        <f>$D$4+'Data - IA'!D79</f>
        <v>607</v>
      </c>
      <c r="D77">
        <f t="shared" si="3"/>
        <v>605</v>
      </c>
      <c r="E77" t="str">
        <f>'Data - IA'!F79&amp;" "</f>
        <v xml:space="preserve">Stem Bolts: N/A ----- </v>
      </c>
      <c r="F77" t="str">
        <f>'Data - IA'!I79</f>
        <v xml:space="preserve">Aerobar Bolts: Top 25mm; Bottom 15mm </v>
      </c>
      <c r="G77" t="str">
        <f t="shared" si="5"/>
        <v xml:space="preserve">Stem Bolts: N/A -----  Aerobar Bolts: Top 25mm; Bottom 15mm </v>
      </c>
    </row>
    <row r="78" spans="2:7" x14ac:dyDescent="0.25">
      <c r="B78" t="str">
        <f>TEXT($B$3,0) &amp;" ----- "&amp;'Data - IA'!B80</f>
        <v>Frame: 51 ----- Stem: 31.8 ----- Alloy Aerobar: + 30 + bridge</v>
      </c>
      <c r="C78">
        <f>$D$4+'Data - IA'!D80</f>
        <v>612</v>
      </c>
      <c r="D78">
        <f t="shared" si="3"/>
        <v>610</v>
      </c>
      <c r="E78" t="str">
        <f>'Data - IA'!F80&amp;" "</f>
        <v xml:space="preserve">Stem Bolts: N/A ----- </v>
      </c>
      <c r="F78" t="str">
        <f>'Data - IA'!I80</f>
        <v xml:space="preserve">Aerobar Bolts: Top 30mm; Bottom 15mm </v>
      </c>
      <c r="G78" t="str">
        <f t="shared" si="5"/>
        <v xml:space="preserve">Stem Bolts: N/A -----  Aerobar Bolts: Top 30mm; Bottom 15mm </v>
      </c>
    </row>
    <row r="79" spans="2:7" x14ac:dyDescent="0.25">
      <c r="B79" t="str">
        <f>TEXT($B$3,0) &amp;" ----- "&amp;'Data - IA'!B81</f>
        <v>Frame: 51 ----- Stem: 31.8 ----- Alloy Aerobar: + 30 + bridge + 5</v>
      </c>
      <c r="C79">
        <f>$D$4+'Data - IA'!D81</f>
        <v>617</v>
      </c>
      <c r="D79">
        <f t="shared" si="3"/>
        <v>615</v>
      </c>
      <c r="E79" t="str">
        <f>'Data - IA'!F81&amp;" "</f>
        <v xml:space="preserve">Stem Bolts: N/A ----- </v>
      </c>
      <c r="F79" t="str">
        <f>'Data - IA'!I81</f>
        <v xml:space="preserve">Aerobar Bolts: Top 30mm; Bottom 15mm </v>
      </c>
      <c r="G79" t="str">
        <f t="shared" si="5"/>
        <v xml:space="preserve">Stem Bolts: N/A -----  Aerobar Bolts: Top 30mm; Bottom 15mm </v>
      </c>
    </row>
    <row r="80" spans="2:7" x14ac:dyDescent="0.25">
      <c r="B80" t="str">
        <f>TEXT($B$3,0) &amp;" ----- "&amp;'Data - IA'!B82</f>
        <v>Frame: 51 ----- Stem: 31.8 ----- Alloy Aerobar: + 40 + bridge</v>
      </c>
      <c r="C80">
        <f>$D$4+'Data - IA'!D82</f>
        <v>622</v>
      </c>
      <c r="D80">
        <f t="shared" si="3"/>
        <v>620</v>
      </c>
      <c r="E80" t="str">
        <f>'Data - IA'!F82&amp;" "</f>
        <v xml:space="preserve">Stem Bolts: N/A ----- </v>
      </c>
      <c r="F80" t="str">
        <f>'Data - IA'!I82</f>
        <v xml:space="preserve">Aerobar Bolts: Top 35mm; Bottom 15mm </v>
      </c>
      <c r="G80" t="str">
        <f t="shared" si="5"/>
        <v xml:space="preserve">Stem Bolts: N/A -----  Aerobar Bolts: Top 35mm; Bottom 15mm </v>
      </c>
    </row>
    <row r="81" spans="2:7" x14ac:dyDescent="0.25">
      <c r="B81" t="str">
        <f>TEXT($B$3,0) &amp;" ----- "&amp;'Data - IA'!B83</f>
        <v>Frame: 51 ----- Stem: 31.8 ----- Alloy Aerobar: + 40 + bridge + 5</v>
      </c>
      <c r="C81">
        <f>$D$4+'Data - IA'!D83</f>
        <v>627</v>
      </c>
      <c r="D81">
        <f t="shared" si="3"/>
        <v>625</v>
      </c>
      <c r="E81" t="str">
        <f>'Data - IA'!F83&amp;" "</f>
        <v xml:space="preserve">Stem Bolts: N/A ----- </v>
      </c>
      <c r="F81" t="str">
        <f>'Data - IA'!I83</f>
        <v xml:space="preserve">Aerobar Bolts: Top 35mm; Bottom 15mm </v>
      </c>
      <c r="G81" t="str">
        <f t="shared" si="5"/>
        <v xml:space="preserve">Stem Bolts: N/A -----  Aerobar Bolts: Top 35mm; Bottom 15mm </v>
      </c>
    </row>
    <row r="82" spans="2:7" x14ac:dyDescent="0.25">
      <c r="B82" t="str">
        <f>TEXT($B$3,0) &amp;" ----- "&amp;'Data - IA'!B84</f>
        <v>Frame: 51 ----- Stem: 31.8 ----- Alloy Aerobar: + 40 + bridge + 10</v>
      </c>
      <c r="C82">
        <f>$D$4+'Data - IA'!D84</f>
        <v>632</v>
      </c>
      <c r="D82">
        <f t="shared" si="3"/>
        <v>630</v>
      </c>
      <c r="E82" t="str">
        <f>'Data - IA'!F84&amp;" "</f>
        <v xml:space="preserve">Stem Bolts: N/A ----- </v>
      </c>
      <c r="F82" t="str">
        <f>'Data - IA'!I84</f>
        <v xml:space="preserve">Aerobar Bolts: Top 35mm; Bottom 15mm </v>
      </c>
      <c r="G82" t="str">
        <f t="shared" si="5"/>
        <v xml:space="preserve">Stem Bolts: N/A -----  Aerobar Bolts: Top 35mm; Bottom 15mm </v>
      </c>
    </row>
    <row r="83" spans="2:7" x14ac:dyDescent="0.25">
      <c r="B83" t="str">
        <f>TEXT($B$3,0) &amp;" ----- "&amp;'Data - IA'!B85</f>
        <v>Frame: 51 ----- Stem: 31.8 ----- Alloy Aerobar: + 40 + bridge + 5 + 10</v>
      </c>
      <c r="C83">
        <f>$D$4+'Data - IA'!D85</f>
        <v>637</v>
      </c>
      <c r="D83">
        <f t="shared" si="3"/>
        <v>635</v>
      </c>
      <c r="E83" t="str">
        <f>'Data - IA'!F85&amp;" "</f>
        <v xml:space="preserve">Stem Bolts: N/A ----- </v>
      </c>
      <c r="F83" t="str">
        <f>'Data - IA'!I85</f>
        <v xml:space="preserve">Aerobar Bolts: Top 35mm; Bottom 25mm </v>
      </c>
      <c r="G83" t="str">
        <f t="shared" si="5"/>
        <v xml:space="preserve">Stem Bolts: N/A -----  Aerobar Bolts: Top 35mm; Bottom 25mm </v>
      </c>
    </row>
    <row r="84" spans="2:7" x14ac:dyDescent="0.25">
      <c r="E84" t="str">
        <f>'Data - IA'!F86&amp;" "</f>
        <v xml:space="preserve"> </v>
      </c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J83"/>
  <sheetViews>
    <sheetView zoomScale="70" zoomScaleNormal="70" workbookViewId="0">
      <selection activeCell="P25" sqref="P25"/>
    </sheetView>
  </sheetViews>
  <sheetFormatPr defaultRowHeight="15" x14ac:dyDescent="0.25"/>
  <cols>
    <col min="2" max="2" width="63" customWidth="1"/>
    <col min="5" max="6" width="9.140625" hidden="1" customWidth="1"/>
    <col min="8" max="8" width="13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115</v>
      </c>
      <c r="C3" t="s">
        <v>2</v>
      </c>
      <c r="D3" t="s">
        <v>1</v>
      </c>
      <c r="H3" t="s">
        <v>15</v>
      </c>
      <c r="I3">
        <v>385</v>
      </c>
      <c r="J3">
        <v>405</v>
      </c>
    </row>
    <row r="4" spans="2:10" x14ac:dyDescent="0.25">
      <c r="B4" t="s">
        <v>10</v>
      </c>
      <c r="C4">
        <v>381</v>
      </c>
      <c r="D4">
        <v>473</v>
      </c>
      <c r="H4" t="s">
        <v>16</v>
      </c>
      <c r="I4">
        <v>495</v>
      </c>
      <c r="J4">
        <v>475</v>
      </c>
    </row>
    <row r="6" spans="2:10" x14ac:dyDescent="0.25">
      <c r="H6" t="s">
        <v>33</v>
      </c>
      <c r="I6">
        <f>C4+'Data - IA'!$C$12</f>
        <v>426</v>
      </c>
    </row>
    <row r="7" spans="2:10" x14ac:dyDescent="0.25">
      <c r="H7" t="s">
        <v>34</v>
      </c>
      <c r="I7">
        <f>C4+'Data - IA'!$C$57</f>
        <v>471</v>
      </c>
    </row>
    <row r="8" spans="2:10" x14ac:dyDescent="0.25">
      <c r="C8" t="s">
        <v>1</v>
      </c>
      <c r="H8" t="s">
        <v>67</v>
      </c>
      <c r="I8">
        <v>469</v>
      </c>
    </row>
    <row r="9" spans="2:10" x14ac:dyDescent="0.25">
      <c r="B9" t="str">
        <f>TEXT($B$3,0) &amp;" ----- "&amp;'Data - IA'!B11</f>
        <v>Frame: 48 ----- Stem: Integrated ----- Aerobar:</v>
      </c>
      <c r="D9">
        <f t="shared" ref="D9:D53" si="0">ROUND(C9/5,0)*5</f>
        <v>0</v>
      </c>
      <c r="E9" t="str">
        <f>'Data - IA'!F11&amp;" "</f>
        <v xml:space="preserve">Stem Bolts: 25mm ----- </v>
      </c>
      <c r="F9" t="str">
        <f>'Data - IA'!I11</f>
        <v xml:space="preserve">Aerobar Bolts: Top N/A; Bottom N/A </v>
      </c>
      <c r="G9" t="str">
        <f>E9&amp;" "&amp;F9</f>
        <v xml:space="preserve">Stem Bolts: 25mm -----  Aerobar Bolts: Top N/A; Bottom N/A </v>
      </c>
    </row>
    <row r="10" spans="2:10" x14ac:dyDescent="0.25">
      <c r="B10" t="str">
        <f>TEXT($B$3,0) &amp;" ----- "&amp;'Data - IA'!B12</f>
        <v>Frame: 48 ----- Stem: Integrated ----- Aerobar:+ 5</v>
      </c>
      <c r="C10">
        <f>$D$4+'Data - IA'!D12</f>
        <v>551</v>
      </c>
      <c r="D10">
        <f t="shared" si="0"/>
        <v>550</v>
      </c>
      <c r="E10" t="str">
        <f>'Data - IA'!F12&amp;" "</f>
        <v xml:space="preserve">Stem Bolts: 25mm ----- </v>
      </c>
      <c r="F10" t="str">
        <f>'Data - IA'!I12</f>
        <v xml:space="preserve">Aerobar Bolts: Top 45mm; Bottom N/A </v>
      </c>
      <c r="G10" t="str">
        <f t="shared" ref="G10:G34" si="1">E10&amp;" "&amp;F10</f>
        <v xml:space="preserve">Stem Bolts: 25mm -----  Aerobar Bolts: Top 45mm; Bottom N/A </v>
      </c>
    </row>
    <row r="11" spans="2:10" x14ac:dyDescent="0.25">
      <c r="B11" t="str">
        <f>TEXT($B$3,0) &amp;" ----- "&amp;'Data - IA'!B13</f>
        <v>Frame: 48 ----- Stem: Integrated ----- Aerobar:+ 10</v>
      </c>
      <c r="C11">
        <f>$D$4+'Data - IA'!D13</f>
        <v>556</v>
      </c>
      <c r="D11">
        <f t="shared" si="0"/>
        <v>555</v>
      </c>
      <c r="E11" t="str">
        <f>'Data - IA'!F13&amp;" "</f>
        <v xml:space="preserve">Stem Bolts: 25mm ----- </v>
      </c>
      <c r="F11" t="str">
        <f>'Data - IA'!I13</f>
        <v xml:space="preserve">Aerobar Bolts: Top 50mm; Bottom N/A </v>
      </c>
      <c r="G11" t="str">
        <f t="shared" si="1"/>
        <v xml:space="preserve">Stem Bolts: 25mm -----  Aerobar Bolts: Top 50mm; Bottom N/A </v>
      </c>
    </row>
    <row r="12" spans="2:10" x14ac:dyDescent="0.25">
      <c r="B12" t="str">
        <f>TEXT($B$3,0) &amp;" ----- "&amp;'Data - IA'!B14</f>
        <v>Frame: 48 ----- Stem: Integrated ----- Aerobar:+ 5 + 10</v>
      </c>
      <c r="C12">
        <f>$D$4+'Data - IA'!D14</f>
        <v>561</v>
      </c>
      <c r="D12">
        <f t="shared" si="0"/>
        <v>560</v>
      </c>
      <c r="E12" t="str">
        <f>'Data - IA'!F14&amp;" "</f>
        <v xml:space="preserve">Stem Bolts: 25mm ----- </v>
      </c>
      <c r="F12" t="str">
        <f>'Data - IA'!I14</f>
        <v xml:space="preserve">Aerobar Bolts: Top 55mm; Bottom N/A </v>
      </c>
      <c r="G12" t="str">
        <f t="shared" si="1"/>
        <v xml:space="preserve">Stem Bolts: 25mm -----  Aerobar Bolts: Top 55mm; Bottom N/A </v>
      </c>
    </row>
    <row r="13" spans="2:10" x14ac:dyDescent="0.25">
      <c r="B13" t="str">
        <f>TEXT($B$3,0) &amp;" ----- "&amp;'Data - IA'!B15</f>
        <v>Frame: 48 ----- Stem: Integrated ----- Aerobar:+ 20</v>
      </c>
      <c r="C13">
        <f>$D$4+'Data - IA'!D15</f>
        <v>566</v>
      </c>
      <c r="D13">
        <f t="shared" si="0"/>
        <v>565</v>
      </c>
      <c r="E13" t="str">
        <f>'Data - IA'!F15&amp;" "</f>
        <v xml:space="preserve">Stem Bolts: 25mm ----- </v>
      </c>
      <c r="F13" t="str">
        <f>'Data - IA'!I15</f>
        <v xml:space="preserve">Aerobar Bolts: Top 20mm; Bottom 30mm </v>
      </c>
      <c r="G13" t="str">
        <f t="shared" si="1"/>
        <v xml:space="preserve">Stem Bolts: 25mm -----  Aerobar Bolts: Top 20mm; Bottom 30mm </v>
      </c>
    </row>
    <row r="14" spans="2:10" x14ac:dyDescent="0.25">
      <c r="B14" t="str">
        <f>TEXT($B$3,0) &amp;" ----- "&amp;'Data - IA'!B16</f>
        <v>Frame: 48 ----- Stem: Integrated ----- Aerobar:+ 20 + 5</v>
      </c>
      <c r="C14">
        <f>$D$4+'Data - IA'!D16</f>
        <v>571</v>
      </c>
      <c r="D14">
        <f t="shared" si="0"/>
        <v>570</v>
      </c>
      <c r="E14" t="str">
        <f>'Data - IA'!F16&amp;" "</f>
        <v xml:space="preserve">Stem Bolts: 25mm ----- </v>
      </c>
      <c r="F14" t="str">
        <f>'Data - IA'!I16</f>
        <v xml:space="preserve">Aerobar Bolts: Top 25mm; Bottom 30mm </v>
      </c>
      <c r="G14" t="str">
        <f t="shared" si="1"/>
        <v xml:space="preserve">Stem Bolts: 25mm -----  Aerobar Bolts: Top 25mm; Bottom 30mm </v>
      </c>
    </row>
    <row r="15" spans="2:10" x14ac:dyDescent="0.25">
      <c r="B15" t="str">
        <f>TEXT($B$3,0) &amp;" ----- "&amp;'Data - IA'!B17</f>
        <v>Frame: 48 ----- Stem: Integrated ----- Aerobar:+ 20 + bridge</v>
      </c>
      <c r="C15">
        <f>$D$4+'Data - IA'!D17</f>
        <v>571</v>
      </c>
      <c r="D15">
        <f t="shared" si="0"/>
        <v>570</v>
      </c>
      <c r="E15" t="str">
        <f>'Data - IA'!F17&amp;" "</f>
        <v xml:space="preserve">Stem Bolts: 25mm ----- </v>
      </c>
      <c r="F15" t="str">
        <f>'Data - IA'!I17</f>
        <v xml:space="preserve">Aerobar Bolts: Top 25mm; Bottom 30mm </v>
      </c>
      <c r="G15" t="str">
        <f t="shared" si="1"/>
        <v xml:space="preserve">Stem Bolts: 25mm -----  Aerobar Bolts: Top 25mm; Bottom 30mm </v>
      </c>
    </row>
    <row r="16" spans="2:10" x14ac:dyDescent="0.25">
      <c r="B16" t="str">
        <f>TEXT($B$3,0) &amp;" ----- "&amp;'Data - IA'!B18</f>
        <v>Frame: 48 ----- Stem: Integrated ----- Aerobar:+ 30</v>
      </c>
      <c r="C16">
        <f>$D$4+'Data - IA'!D18</f>
        <v>576</v>
      </c>
      <c r="D16">
        <f t="shared" si="0"/>
        <v>575</v>
      </c>
      <c r="E16" t="str">
        <f>'Data - IA'!F18&amp;" "</f>
        <v xml:space="preserve">Stem Bolts: 25mm ----- </v>
      </c>
      <c r="F16" t="str">
        <f>'Data - IA'!I18</f>
        <v xml:space="preserve">Aerobar Bolts: Top 25mm; Bottom 30mm </v>
      </c>
      <c r="G16" t="str">
        <f t="shared" si="1"/>
        <v xml:space="preserve">Stem Bolts: 25mm -----  Aerobar Bolts: Top 25mm; Bottom 30mm </v>
      </c>
    </row>
    <row r="17" spans="2:7" x14ac:dyDescent="0.25">
      <c r="B17" t="str">
        <f>TEXT($B$3,0) &amp;" ----- "&amp;'Data - IA'!B19</f>
        <v>Frame: 48 ----- Stem: Integrated ----- Aerobar:+ 20 + bridge + 5</v>
      </c>
      <c r="C17">
        <f>$D$4+'Data - IA'!D19</f>
        <v>576</v>
      </c>
      <c r="D17">
        <f t="shared" si="0"/>
        <v>575</v>
      </c>
      <c r="E17" t="str">
        <f>'Data - IA'!F19&amp;" "</f>
        <v xml:space="preserve">Stem Bolts: 25mm ----- </v>
      </c>
      <c r="F17" t="str">
        <f>'Data - IA'!I19</f>
        <v xml:space="preserve">Aerobar Bolts: Top 30mm; Bottom 30mm </v>
      </c>
      <c r="G17" t="str">
        <f t="shared" si="1"/>
        <v xml:space="preserve">Stem Bolts: 25mm -----  Aerobar Bolts: Top 30mm; Bottom 30mm </v>
      </c>
    </row>
    <row r="18" spans="2:7" x14ac:dyDescent="0.25">
      <c r="B18" t="str">
        <f>TEXT($B$3,0) &amp;" ----- "&amp;'Data - IA'!B20</f>
        <v>Frame: 48 ----- Stem: Integrated ----- Aerobar:+ 30 + bridge</v>
      </c>
      <c r="C18">
        <f>$D$4+'Data - IA'!D20</f>
        <v>581</v>
      </c>
      <c r="D18">
        <f t="shared" si="0"/>
        <v>580</v>
      </c>
      <c r="E18" t="str">
        <f>'Data - IA'!F20&amp;" "</f>
        <v xml:space="preserve">Stem Bolts: 25mm ----- </v>
      </c>
      <c r="F18" t="str">
        <f>'Data - IA'!I20</f>
        <v xml:space="preserve">Aerobar Bolts: Top 30mm; Bottom 30mm </v>
      </c>
      <c r="G18" t="str">
        <f t="shared" si="1"/>
        <v xml:space="preserve">Stem Bolts: 25mm -----  Aerobar Bolts: Top 30mm; Bottom 30mm </v>
      </c>
    </row>
    <row r="19" spans="2:7" x14ac:dyDescent="0.25">
      <c r="B19" t="str">
        <f>TEXT($B$3,0) &amp;" ----- "&amp;'Data - IA'!B21</f>
        <v>Frame: 48 ----- Stem: Integrated ----- Aerobar:+ 30 + bridge + 5</v>
      </c>
      <c r="C19">
        <f>$D$4+'Data - IA'!D21</f>
        <v>586</v>
      </c>
      <c r="D19">
        <f t="shared" si="0"/>
        <v>585</v>
      </c>
      <c r="E19" t="str">
        <f>'Data - IA'!F21&amp;" "</f>
        <v xml:space="preserve">Stem Bolts: 25mm ----- </v>
      </c>
      <c r="F19" t="str">
        <f>'Data - IA'!I21</f>
        <v xml:space="preserve">Aerobar Bolts: Top 35mm; Bottom 30mm </v>
      </c>
      <c r="G19" t="str">
        <f t="shared" si="1"/>
        <v xml:space="preserve">Stem Bolts: 25mm -----  Aerobar Bolts: Top 35mm; Bottom 30mm </v>
      </c>
    </row>
    <row r="20" spans="2:7" x14ac:dyDescent="0.25">
      <c r="B20" t="str">
        <f>TEXT($B$3,0) &amp;" ----- "&amp;'Data - IA'!B22</f>
        <v>Frame: 48 ----- Stem: Integrated ----- Aerobar:+ 40 + bridge</v>
      </c>
      <c r="C20">
        <f>$D$4+'Data - IA'!D22</f>
        <v>591</v>
      </c>
      <c r="D20">
        <f t="shared" si="0"/>
        <v>590</v>
      </c>
      <c r="E20" t="str">
        <f>'Data - IA'!F22&amp;" "</f>
        <v xml:space="preserve">Stem Bolts: 25mm ----- </v>
      </c>
      <c r="F20" t="str">
        <f>'Data - IA'!I22</f>
        <v xml:space="preserve">Aerobar Bolts: Top 35mm; Bottom 30mm </v>
      </c>
      <c r="G20" t="str">
        <f t="shared" si="1"/>
        <v xml:space="preserve">Stem Bolts: 25mm -----  Aerobar Bolts: Top 35mm; Bottom 30mm </v>
      </c>
    </row>
    <row r="21" spans="2:7" x14ac:dyDescent="0.25">
      <c r="B21" t="str">
        <f>TEXT($B$3,0) &amp;" ----- "&amp;'Data - IA'!B23</f>
        <v>Frame: 48 ----- Stem: Integrated ----- Aerobar:+ 40 + bridge + 5</v>
      </c>
      <c r="C21">
        <f>$D$4+'Data - IA'!D23</f>
        <v>596</v>
      </c>
      <c r="D21">
        <f t="shared" si="0"/>
        <v>595</v>
      </c>
      <c r="E21" t="str">
        <f>'Data - IA'!F23&amp;" "</f>
        <v xml:space="preserve">Stem Bolts: 25mm ----- </v>
      </c>
      <c r="F21" t="str">
        <f>'Data - IA'!I23</f>
        <v xml:space="preserve">Aerobar Bolts: Top 35mm; Bottom 30mm </v>
      </c>
      <c r="G21" t="str">
        <f t="shared" si="1"/>
        <v xml:space="preserve">Stem Bolts: 25mm -----  Aerobar Bolts: Top 35mm; Bottom 30mm </v>
      </c>
    </row>
    <row r="22" spans="2:7" x14ac:dyDescent="0.25">
      <c r="B22" t="str">
        <f>TEXT($B$3,0) &amp;" ----- "&amp;'Data - IA'!B24</f>
        <v>Frame: 48 ----- Stem: Integrated ----- Aerobar:+ 40 + bridge + 10</v>
      </c>
      <c r="C22">
        <f>$D$4+'Data - IA'!D24</f>
        <v>601</v>
      </c>
      <c r="D22">
        <f t="shared" si="0"/>
        <v>600</v>
      </c>
      <c r="E22" t="str">
        <f>'Data - IA'!F24&amp;" "</f>
        <v xml:space="preserve">Stem Bolts: 25mm ----- </v>
      </c>
      <c r="F22" t="str">
        <f>'Data - IA'!I24</f>
        <v xml:space="preserve">Aerobar Bolts: Top 40mm; Bottom 30mm </v>
      </c>
      <c r="G22" t="str">
        <f t="shared" si="1"/>
        <v xml:space="preserve">Stem Bolts: 25mm -----  Aerobar Bolts: Top 40mm; Bottom 30mm </v>
      </c>
    </row>
    <row r="23" spans="2:7" x14ac:dyDescent="0.25">
      <c r="B23" t="str">
        <f>TEXT($B$3,0) &amp;" ----- "&amp;'Data - IA'!B25</f>
        <v>Frame: 48 ----- Stem: Integrated ----- Aerobar:+ 40 + bridge + 10 + 5</v>
      </c>
      <c r="C23">
        <f>$D$4+'Data - IA'!D25</f>
        <v>606</v>
      </c>
      <c r="D23">
        <f t="shared" si="0"/>
        <v>605</v>
      </c>
      <c r="E23" t="str">
        <f>'Data - IA'!F25&amp;" "</f>
        <v xml:space="preserve">Stem Bolts: 25mm ----- </v>
      </c>
      <c r="F23" t="str">
        <f>'Data - IA'!I25</f>
        <v xml:space="preserve">Aerobar Bolts: Top 45mm; Bottom 30mm </v>
      </c>
      <c r="G23" t="str">
        <f t="shared" si="1"/>
        <v xml:space="preserve">Stem Bolts: 25mm -----  Aerobar Bolts: Top 45mm; Bottom 30mm </v>
      </c>
    </row>
    <row r="24" spans="2:7" x14ac:dyDescent="0.25">
      <c r="B24" t="str">
        <f>TEXT($B$3,0) &amp;" ----- "&amp;'Data - IA'!B26</f>
        <v xml:space="preserve">Frame: 48 ----- Stem: Integrated w/15 ----- Aerobar: </v>
      </c>
      <c r="D24">
        <f t="shared" si="0"/>
        <v>0</v>
      </c>
      <c r="E24" t="str">
        <f>'Data - IA'!F26&amp;" "</f>
        <v xml:space="preserve">Stem Bolts: 40mm ----- </v>
      </c>
      <c r="F24" t="str">
        <f>'Data - IA'!I26</f>
        <v xml:space="preserve">Aerobar Bolts: Top N/A; Bottom N/A </v>
      </c>
      <c r="G24" t="str">
        <f t="shared" si="1"/>
        <v xml:space="preserve">Stem Bolts: 40mm -----  Aerobar Bolts: Top N/A; Bottom N/A </v>
      </c>
    </row>
    <row r="25" spans="2:7" x14ac:dyDescent="0.25">
      <c r="B25" t="str">
        <f>TEXT($B$3,0) &amp;" ----- "&amp;'Data - IA'!B27</f>
        <v>Frame: 48 ----- Stem: Integrated w/15 ----- Aerobar: + 5</v>
      </c>
      <c r="C25">
        <f>$D$4+'Data - IA'!D27</f>
        <v>566</v>
      </c>
      <c r="D25">
        <f t="shared" si="0"/>
        <v>565</v>
      </c>
      <c r="E25" t="str">
        <f>'Data - IA'!F27&amp;" "</f>
        <v xml:space="preserve">Stem Bolts: 40mm ----- </v>
      </c>
      <c r="F25" t="str">
        <f>'Data - IA'!I27</f>
        <v xml:space="preserve">Aerobar Bolts: Top 45mm; Bottom N/A </v>
      </c>
      <c r="G25" t="str">
        <f t="shared" si="1"/>
        <v xml:space="preserve">Stem Bolts: 40mm -----  Aerobar Bolts: Top 45mm; Bottom N/A </v>
      </c>
    </row>
    <row r="26" spans="2:7" x14ac:dyDescent="0.25">
      <c r="B26" t="str">
        <f>TEXT($B$3,0) &amp;" ----- "&amp;'Data - IA'!B28</f>
        <v>Frame: 48 ----- Stem: Integrated w/15 ----- Aerobar: + 10</v>
      </c>
      <c r="C26">
        <f>$D$4+'Data - IA'!D28</f>
        <v>571</v>
      </c>
      <c r="D26">
        <f t="shared" si="0"/>
        <v>570</v>
      </c>
      <c r="E26" t="str">
        <f>'Data - IA'!F28&amp;" "</f>
        <v xml:space="preserve">Stem Bolts: 40mm ----- </v>
      </c>
      <c r="F26" t="str">
        <f>'Data - IA'!I28</f>
        <v xml:space="preserve">Aerobar Bolts: Top 50mm; Bottom N/A </v>
      </c>
      <c r="G26" t="str">
        <f t="shared" si="1"/>
        <v xml:space="preserve">Stem Bolts: 40mm -----  Aerobar Bolts: Top 50mm; Bottom N/A </v>
      </c>
    </row>
    <row r="27" spans="2:7" x14ac:dyDescent="0.25">
      <c r="B27" t="str">
        <f>TEXT($B$3,0) &amp;" ----- "&amp;'Data - IA'!B29</f>
        <v>Frame: 48 ----- Stem: Integrated w/15 ----- Aerobar: + 5 + 10</v>
      </c>
      <c r="C27">
        <f>$D$4+'Data - IA'!D29</f>
        <v>576</v>
      </c>
      <c r="D27">
        <f t="shared" si="0"/>
        <v>575</v>
      </c>
      <c r="E27" t="str">
        <f>'Data - IA'!F29&amp;" "</f>
        <v xml:space="preserve">Stem Bolts: 40mm ----- </v>
      </c>
      <c r="F27" t="str">
        <f>'Data - IA'!I29</f>
        <v xml:space="preserve">Aerobar Bolts: Top 55mm; Bottom N/A </v>
      </c>
      <c r="G27" t="str">
        <f t="shared" si="1"/>
        <v xml:space="preserve">Stem Bolts: 40mm -----  Aerobar Bolts: Top 55mm; Bottom N/A </v>
      </c>
    </row>
    <row r="28" spans="2:7" x14ac:dyDescent="0.25">
      <c r="B28" t="str">
        <f>TEXT($B$3,0) &amp;" ----- "&amp;'Data - IA'!B30</f>
        <v>Frame: 48 ----- Stem: Integrated w/15 ----- Aerobar: + 20</v>
      </c>
      <c r="C28">
        <f>$D$4+'Data - IA'!D30</f>
        <v>581</v>
      </c>
      <c r="D28">
        <f t="shared" si="0"/>
        <v>580</v>
      </c>
      <c r="E28" t="str">
        <f>'Data - IA'!F30&amp;" "</f>
        <v xml:space="preserve">Stem Bolts: 40mm ----- </v>
      </c>
      <c r="F28" t="str">
        <f>'Data - IA'!I30</f>
        <v xml:space="preserve">Aerobar Bolts: Top 20mm; Bottom 30mm </v>
      </c>
      <c r="G28" t="str">
        <f t="shared" si="1"/>
        <v xml:space="preserve">Stem Bolts: 40mm -----  Aerobar Bolts: Top 20mm; Bottom 30mm </v>
      </c>
    </row>
    <row r="29" spans="2:7" x14ac:dyDescent="0.25">
      <c r="B29" t="str">
        <f>TEXT($B$3,0) &amp;" ----- "&amp;'Data - IA'!B31</f>
        <v>Frame: 48 ----- Stem: Integrated w/15 ----- Aerobar: + 20 + 5</v>
      </c>
      <c r="C29">
        <f>$D$4+'Data - IA'!D31</f>
        <v>586</v>
      </c>
      <c r="D29">
        <f t="shared" si="0"/>
        <v>585</v>
      </c>
      <c r="E29" t="str">
        <f>'Data - IA'!F31&amp;" "</f>
        <v xml:space="preserve">Stem Bolts: 40mm ----- </v>
      </c>
      <c r="F29" t="str">
        <f>'Data - IA'!I31</f>
        <v xml:space="preserve">Aerobar Bolts: Top 25mm; Bottom 30mm </v>
      </c>
      <c r="G29" t="str">
        <f t="shared" si="1"/>
        <v xml:space="preserve">Stem Bolts: 40mm -----  Aerobar Bolts: Top 25mm; Bottom 30mm </v>
      </c>
    </row>
    <row r="30" spans="2:7" x14ac:dyDescent="0.25">
      <c r="B30" t="str">
        <f>TEXT($B$3,0) &amp;" ----- "&amp;'Data - IA'!B32</f>
        <v>Frame: 48 ----- Stem: Integrated w/15 ----- Aerobar: + 20 + bridge</v>
      </c>
      <c r="C30">
        <f>$D$4+'Data - IA'!D32</f>
        <v>586</v>
      </c>
      <c r="D30">
        <f t="shared" si="0"/>
        <v>585</v>
      </c>
      <c r="E30" t="str">
        <f>'Data - IA'!F32&amp;" "</f>
        <v xml:space="preserve">Stem Bolts: 40mm ----- </v>
      </c>
      <c r="F30" t="str">
        <f>'Data - IA'!I32</f>
        <v xml:space="preserve">Aerobar Bolts: Top 25mm; Bottom 30mm </v>
      </c>
      <c r="G30" t="str">
        <f t="shared" si="1"/>
        <v xml:space="preserve">Stem Bolts: 40mm -----  Aerobar Bolts: Top 25mm; Bottom 30mm </v>
      </c>
    </row>
    <row r="31" spans="2:7" x14ac:dyDescent="0.25">
      <c r="B31" t="str">
        <f>TEXT($B$3,0) &amp;" ----- "&amp;'Data - IA'!B33</f>
        <v>Frame: 48 ----- Stem: Integrated w/15 ----- Aerobar: + 30</v>
      </c>
      <c r="C31">
        <f>$D$4+'Data - IA'!D33</f>
        <v>591</v>
      </c>
      <c r="D31">
        <f t="shared" si="0"/>
        <v>590</v>
      </c>
      <c r="E31" t="str">
        <f>'Data - IA'!F33&amp;" "</f>
        <v xml:space="preserve">Stem Bolts: 40mm ----- </v>
      </c>
      <c r="F31" t="str">
        <f>'Data - IA'!I33</f>
        <v xml:space="preserve">Aerobar Bolts: Top 25mm; Bottom 30mm </v>
      </c>
      <c r="G31" t="str">
        <f t="shared" si="1"/>
        <v xml:space="preserve">Stem Bolts: 40mm -----  Aerobar Bolts: Top 25mm; Bottom 30mm </v>
      </c>
    </row>
    <row r="32" spans="2:7" x14ac:dyDescent="0.25">
      <c r="B32" t="str">
        <f>TEXT($B$3,0) &amp;" ----- "&amp;'Data - IA'!B34</f>
        <v>Frame: 48 ----- Stem: Integrated w/15 ----- Aerobar: + 20 + bridge + 5</v>
      </c>
      <c r="C32">
        <f>$D$4+'Data - IA'!D34</f>
        <v>591</v>
      </c>
      <c r="D32">
        <f t="shared" si="0"/>
        <v>590</v>
      </c>
      <c r="E32" t="str">
        <f>'Data - IA'!F34&amp;" "</f>
        <v xml:space="preserve">Stem Bolts: 40mm ----- </v>
      </c>
      <c r="F32" t="str">
        <f>'Data - IA'!I34</f>
        <v xml:space="preserve">Aerobar Bolts: Top 30mm; Bottom 30mm </v>
      </c>
      <c r="G32" t="str">
        <f t="shared" si="1"/>
        <v xml:space="preserve">Stem Bolts: 40mm -----  Aerobar Bolts: Top 30mm; Bottom 30mm </v>
      </c>
    </row>
    <row r="33" spans="2:7" x14ac:dyDescent="0.25">
      <c r="B33" t="str">
        <f>TEXT($B$3,0) &amp;" ----- "&amp;'Data - IA'!B35</f>
        <v>Frame: 48 ----- Stem: Integrated w/15 ----- Aerobar: + 30 + bridge</v>
      </c>
      <c r="C33">
        <f>$D$4+'Data - IA'!D35</f>
        <v>596</v>
      </c>
      <c r="D33">
        <f t="shared" si="0"/>
        <v>595</v>
      </c>
      <c r="E33" t="str">
        <f>'Data - IA'!F35&amp;" "</f>
        <v xml:space="preserve">Stem Bolts: 40mm ----- </v>
      </c>
      <c r="F33" t="str">
        <f>'Data - IA'!I35</f>
        <v xml:space="preserve">Aerobar Bolts: Top 30mm; Bottom 30mm </v>
      </c>
      <c r="G33" t="str">
        <f t="shared" si="1"/>
        <v xml:space="preserve">Stem Bolts: 40mm -----  Aerobar Bolts: Top 30mm; Bottom 30mm </v>
      </c>
    </row>
    <row r="34" spans="2:7" x14ac:dyDescent="0.25">
      <c r="B34" t="str">
        <f>TEXT($B$3,0) &amp;" ----- "&amp;'Data - IA'!B36</f>
        <v>Frame: 48 ----- Stem: Integrated w/15 ----- Aerobar: + 30 + bridge + 5</v>
      </c>
      <c r="C34">
        <f>$D$4+'Data - IA'!D36</f>
        <v>601</v>
      </c>
      <c r="D34">
        <f t="shared" si="0"/>
        <v>600</v>
      </c>
      <c r="E34" t="str">
        <f>'Data - IA'!F36&amp;" "</f>
        <v xml:space="preserve">Stem Bolts: 40mm ----- </v>
      </c>
      <c r="F34" t="str">
        <f>'Data - IA'!I36</f>
        <v xml:space="preserve">Aerobar Bolts: Top 35mm; Bottom 30mm </v>
      </c>
      <c r="G34" t="str">
        <f t="shared" si="1"/>
        <v xml:space="preserve">Stem Bolts: 40mm -----  Aerobar Bolts: Top 35mm; Bottom 30mm </v>
      </c>
    </row>
    <row r="35" spans="2:7" x14ac:dyDescent="0.25">
      <c r="B35" t="str">
        <f>TEXT($B$3,0) &amp;" ----- "&amp;'Data - IA'!B37</f>
        <v>Frame: 48 ----- Stem: Integrated w/15 ----- Aerobar: + 40 + bridge</v>
      </c>
      <c r="C35">
        <f>$D$4+'Data - IA'!D37</f>
        <v>606</v>
      </c>
      <c r="D35">
        <f t="shared" si="0"/>
        <v>605</v>
      </c>
      <c r="E35" t="str">
        <f>'Data - IA'!F37&amp;" "</f>
        <v xml:space="preserve">Stem Bolts: 40mm ----- </v>
      </c>
      <c r="F35" t="str">
        <f>'Data - IA'!I37</f>
        <v xml:space="preserve">Aerobar Bolts: Top 35mm; Bottom 30mm </v>
      </c>
      <c r="G35" t="str">
        <f t="shared" ref="G35:G63" si="2">E35&amp;" "&amp;F35</f>
        <v xml:space="preserve">Stem Bolts: 40mm -----  Aerobar Bolts: Top 35mm; Bottom 30mm </v>
      </c>
    </row>
    <row r="36" spans="2:7" x14ac:dyDescent="0.25">
      <c r="B36" t="str">
        <f>TEXT($B$3,0) &amp;" ----- "&amp;'Data - IA'!B38</f>
        <v>Frame: 48 ----- Stem: Integrated w/15 ----- Aerobar: + 40 + bridge + 5</v>
      </c>
      <c r="C36">
        <f>$D$4+'Data - IA'!D38</f>
        <v>611</v>
      </c>
      <c r="D36">
        <f t="shared" si="0"/>
        <v>610</v>
      </c>
      <c r="E36" t="str">
        <f>'Data - IA'!F38&amp;" "</f>
        <v xml:space="preserve">Stem Bolts: 40mm ----- </v>
      </c>
      <c r="F36" t="str">
        <f>'Data - IA'!I38</f>
        <v xml:space="preserve">Aerobar Bolts: Top 35mm; Bottom 30mm </v>
      </c>
      <c r="G36" t="str">
        <f t="shared" si="2"/>
        <v xml:space="preserve">Stem Bolts: 40mm -----  Aerobar Bolts: Top 35mm; Bottom 30mm </v>
      </c>
    </row>
    <row r="37" spans="2:7" x14ac:dyDescent="0.25">
      <c r="B37" t="str">
        <f>TEXT($B$3,0) &amp;" ----- "&amp;'Data - IA'!B39</f>
        <v>Frame: 48 ----- Stem: Integrated w/15 ----- Aerobar: + 40 + bridge + 10</v>
      </c>
      <c r="C37">
        <f>$D$4+'Data - IA'!D39</f>
        <v>616</v>
      </c>
      <c r="D37">
        <f t="shared" si="0"/>
        <v>615</v>
      </c>
      <c r="E37" t="str">
        <f>'Data - IA'!F39&amp;" "</f>
        <v xml:space="preserve">Stem Bolts: 40mm ----- </v>
      </c>
      <c r="F37" t="str">
        <f>'Data - IA'!I39</f>
        <v xml:space="preserve">Aerobar Bolts: Top 40mm; Bottom 30mm </v>
      </c>
      <c r="G37" t="str">
        <f t="shared" si="2"/>
        <v xml:space="preserve">Stem Bolts: 40mm -----  Aerobar Bolts: Top 40mm; Bottom 30mm </v>
      </c>
    </row>
    <row r="38" spans="2:7" x14ac:dyDescent="0.25">
      <c r="B38" t="str">
        <f>TEXT($B$3,0) &amp;" ----- "&amp;'Data - IA'!B40</f>
        <v>Frame: 48 ----- Stem: Integrated w/15 ----- Aerobar: + 40 + bridge + 10 + 5</v>
      </c>
      <c r="C38">
        <f>$D$4+'Data - IA'!D40</f>
        <v>621</v>
      </c>
      <c r="D38">
        <f t="shared" si="0"/>
        <v>620</v>
      </c>
      <c r="E38" t="str">
        <f>'Data - IA'!F40&amp;" "</f>
        <v xml:space="preserve">Stem Bolts: 40mm ----- </v>
      </c>
      <c r="F38" t="str">
        <f>'Data - IA'!I40</f>
        <v xml:space="preserve">Aerobar Bolts: Top 45mm; Bottom 30mm </v>
      </c>
      <c r="G38" t="str">
        <f t="shared" si="2"/>
        <v xml:space="preserve">Stem Bolts: 40mm -----  Aerobar Bolts: Top 45mm; Bottom 30mm </v>
      </c>
    </row>
    <row r="39" spans="2:7" x14ac:dyDescent="0.25">
      <c r="B39" t="str">
        <f>TEXT($B$3,0) &amp;" ----- "&amp;'Data - IA'!B41</f>
        <v xml:space="preserve">Frame: 48 ----- Stem: Integrated w/30 ----- Aerobar: </v>
      </c>
      <c r="D39">
        <f t="shared" si="0"/>
        <v>0</v>
      </c>
      <c r="E39" t="str">
        <f>'Data - IA'!F41&amp;" "</f>
        <v xml:space="preserve">Stem Bolts: 55mm ----- </v>
      </c>
      <c r="F39" t="str">
        <f>'Data - IA'!I41</f>
        <v xml:space="preserve">Aerobar Bolts: Top N/A; Bottom N/A </v>
      </c>
      <c r="G39" t="str">
        <f t="shared" si="2"/>
        <v xml:space="preserve">Stem Bolts: 55mm -----  Aerobar Bolts: Top N/A; Bottom N/A </v>
      </c>
    </row>
    <row r="40" spans="2:7" x14ac:dyDescent="0.25">
      <c r="B40" t="str">
        <f>TEXT($B$3,0) &amp;" ----- "&amp;'Data - IA'!B42</f>
        <v>Frame: 48 ----- Stem: Integrated w/30 ----- Aerobar: + 5</v>
      </c>
      <c r="C40">
        <f>$D$4+'Data - IA'!D42</f>
        <v>581</v>
      </c>
      <c r="D40">
        <f t="shared" si="0"/>
        <v>580</v>
      </c>
      <c r="E40" t="str">
        <f>'Data - IA'!F42&amp;" "</f>
        <v xml:space="preserve">Stem Bolts: 55mm ----- </v>
      </c>
      <c r="F40" t="str">
        <f>'Data - IA'!I42</f>
        <v xml:space="preserve">Aerobar Bolts: Top 45mm; Bottom N/A </v>
      </c>
      <c r="G40" t="str">
        <f t="shared" si="2"/>
        <v xml:space="preserve">Stem Bolts: 55mm -----  Aerobar Bolts: Top 45mm; Bottom N/A </v>
      </c>
    </row>
    <row r="41" spans="2:7" x14ac:dyDescent="0.25">
      <c r="B41" t="str">
        <f>TEXT($B$3,0) &amp;" ----- "&amp;'Data - IA'!B43</f>
        <v>Frame: 48 ----- Stem: Integrated w/30 ----- Aerobar: + 10</v>
      </c>
      <c r="C41">
        <f>$D$4+'Data - IA'!D43</f>
        <v>586</v>
      </c>
      <c r="D41">
        <f t="shared" si="0"/>
        <v>585</v>
      </c>
      <c r="E41" t="str">
        <f>'Data - IA'!F43&amp;" "</f>
        <v xml:space="preserve">Stem Bolts: 55mm ----- </v>
      </c>
      <c r="F41" t="str">
        <f>'Data - IA'!I43</f>
        <v xml:space="preserve">Aerobar Bolts: Top 50mm; Bottom N/A </v>
      </c>
      <c r="G41" t="str">
        <f t="shared" si="2"/>
        <v xml:space="preserve">Stem Bolts: 55mm -----  Aerobar Bolts: Top 50mm; Bottom N/A </v>
      </c>
    </row>
    <row r="42" spans="2:7" x14ac:dyDescent="0.25">
      <c r="B42" t="str">
        <f>TEXT($B$3,0) &amp;" ----- "&amp;'Data - IA'!B44</f>
        <v>Frame: 48 ----- Stem: Integrated w/30 ----- Aerobar: + 5 + 10</v>
      </c>
      <c r="C42">
        <f>$D$4+'Data - IA'!D44</f>
        <v>591</v>
      </c>
      <c r="D42">
        <f t="shared" si="0"/>
        <v>590</v>
      </c>
      <c r="E42" t="str">
        <f>'Data - IA'!F44&amp;" "</f>
        <v xml:space="preserve">Stem Bolts: 55mm ----- </v>
      </c>
      <c r="F42" t="str">
        <f>'Data - IA'!I44</f>
        <v xml:space="preserve">Aerobar Bolts: Top 55mm; Bottom N/A </v>
      </c>
      <c r="G42" t="str">
        <f t="shared" si="2"/>
        <v xml:space="preserve">Stem Bolts: 55mm -----  Aerobar Bolts: Top 55mm; Bottom N/A </v>
      </c>
    </row>
    <row r="43" spans="2:7" x14ac:dyDescent="0.25">
      <c r="B43" t="str">
        <f>TEXT($B$3,0) &amp;" ----- "&amp;'Data - IA'!B45</f>
        <v>Frame: 48 ----- Stem: Integrated w/30 ----- Aerobar: + 20</v>
      </c>
      <c r="C43">
        <f>$D$4+'Data - IA'!D45</f>
        <v>596</v>
      </c>
      <c r="D43">
        <f t="shared" si="0"/>
        <v>595</v>
      </c>
      <c r="E43" t="str">
        <f>'Data - IA'!F45&amp;" "</f>
        <v xml:space="preserve">Stem Bolts: 55mm ----- </v>
      </c>
      <c r="F43" t="str">
        <f>'Data - IA'!I45</f>
        <v xml:space="preserve">Aerobar Bolts: Top 20mm; Bottom 30mm </v>
      </c>
      <c r="G43" t="str">
        <f t="shared" si="2"/>
        <v xml:space="preserve">Stem Bolts: 55mm -----  Aerobar Bolts: Top 20mm; Bottom 30mm </v>
      </c>
    </row>
    <row r="44" spans="2:7" x14ac:dyDescent="0.25">
      <c r="B44" t="str">
        <f>TEXT($B$3,0) &amp;" ----- "&amp;'Data - IA'!B46</f>
        <v>Frame: 48 ----- Stem: Integrated w/30 ----- Aerobar: + 20 + 5</v>
      </c>
      <c r="C44">
        <f>$D$4+'Data - IA'!D46</f>
        <v>601</v>
      </c>
      <c r="D44">
        <f t="shared" si="0"/>
        <v>600</v>
      </c>
      <c r="E44" t="str">
        <f>'Data - IA'!F46&amp;" "</f>
        <v xml:space="preserve">Stem Bolts: 55mm ----- </v>
      </c>
      <c r="F44" t="str">
        <f>'Data - IA'!I46</f>
        <v xml:space="preserve">Aerobar Bolts: Top 25mm; Bottom 30mm </v>
      </c>
      <c r="G44" t="str">
        <f t="shared" si="2"/>
        <v xml:space="preserve">Stem Bolts: 55mm -----  Aerobar Bolts: Top 25mm; Bottom 30mm </v>
      </c>
    </row>
    <row r="45" spans="2:7" x14ac:dyDescent="0.25">
      <c r="B45" t="str">
        <f>TEXT($B$3,0) &amp;" ----- "&amp;'Data - IA'!B47</f>
        <v>Frame: 48 ----- Stem: Integrated w/30 ----- Aerobar: + 20 + bridge</v>
      </c>
      <c r="C45">
        <f>$D$4+'Data - IA'!D47</f>
        <v>601</v>
      </c>
      <c r="D45">
        <f t="shared" si="0"/>
        <v>600</v>
      </c>
      <c r="E45" t="str">
        <f>'Data - IA'!F47&amp;" "</f>
        <v xml:space="preserve">Stem Bolts: 55mm ----- </v>
      </c>
      <c r="F45" t="str">
        <f>'Data - IA'!I47</f>
        <v xml:space="preserve">Aerobar Bolts: Top 25mm; Bottom 30mm </v>
      </c>
      <c r="G45" t="str">
        <f t="shared" si="2"/>
        <v xml:space="preserve">Stem Bolts: 55mm -----  Aerobar Bolts: Top 25mm; Bottom 30mm </v>
      </c>
    </row>
    <row r="46" spans="2:7" x14ac:dyDescent="0.25">
      <c r="B46" t="str">
        <f>TEXT($B$3,0) &amp;" ----- "&amp;'Data - IA'!B48</f>
        <v>Frame: 48 ----- Stem: Integrated w/30 ----- Aerobar: + 30</v>
      </c>
      <c r="C46">
        <f>$D$4+'Data - IA'!D48</f>
        <v>606</v>
      </c>
      <c r="D46">
        <f t="shared" si="0"/>
        <v>605</v>
      </c>
      <c r="E46" t="str">
        <f>'Data - IA'!F48&amp;" "</f>
        <v xml:space="preserve">Stem Bolts: 55mm ----- </v>
      </c>
      <c r="F46" t="str">
        <f>'Data - IA'!I48</f>
        <v xml:space="preserve">Aerobar Bolts: Top 25mm; Bottom 30mm </v>
      </c>
      <c r="G46" t="str">
        <f t="shared" si="2"/>
        <v xml:space="preserve">Stem Bolts: 55mm -----  Aerobar Bolts: Top 25mm; Bottom 30mm </v>
      </c>
    </row>
    <row r="47" spans="2:7" x14ac:dyDescent="0.25">
      <c r="B47" t="str">
        <f>TEXT($B$3,0) &amp;" ----- "&amp;'Data - IA'!B49</f>
        <v>Frame: 48 ----- Stem: Integrated w/30 ----- Aerobar: + 20 + bridge + 5</v>
      </c>
      <c r="C47">
        <f>$D$4+'Data - IA'!D49</f>
        <v>606</v>
      </c>
      <c r="D47">
        <f t="shared" si="0"/>
        <v>605</v>
      </c>
      <c r="E47" t="str">
        <f>'Data - IA'!F49&amp;" "</f>
        <v xml:space="preserve">Stem Bolts: 55mm ----- </v>
      </c>
      <c r="F47" t="str">
        <f>'Data - IA'!I49</f>
        <v xml:space="preserve">Aerobar Bolts: Top 30mm; Bottom 30mm </v>
      </c>
      <c r="G47" t="str">
        <f t="shared" si="2"/>
        <v xml:space="preserve">Stem Bolts: 55mm -----  Aerobar Bolts: Top 30mm; Bottom 30mm </v>
      </c>
    </row>
    <row r="48" spans="2:7" x14ac:dyDescent="0.25">
      <c r="B48" t="str">
        <f>TEXT($B$3,0) &amp;" ----- "&amp;'Data - IA'!B50</f>
        <v>Frame: 48 ----- Stem: Integrated w/30 ----- Aerobar: + 30 + bridge</v>
      </c>
      <c r="C48">
        <f>$D$4+'Data - IA'!D50</f>
        <v>611</v>
      </c>
      <c r="D48">
        <f t="shared" si="0"/>
        <v>610</v>
      </c>
      <c r="E48" t="str">
        <f>'Data - IA'!F50&amp;" "</f>
        <v xml:space="preserve">Stem Bolts: 55mm ----- </v>
      </c>
      <c r="F48" t="str">
        <f>'Data - IA'!I50</f>
        <v xml:space="preserve">Aerobar Bolts: Top 30mm; Bottom 30mm </v>
      </c>
      <c r="G48" t="str">
        <f t="shared" si="2"/>
        <v xml:space="preserve">Stem Bolts: 55mm -----  Aerobar Bolts: Top 30mm; Bottom 30mm </v>
      </c>
    </row>
    <row r="49" spans="2:7" x14ac:dyDescent="0.25">
      <c r="B49" t="str">
        <f>TEXT($B$3,0) &amp;" ----- "&amp;'Data - IA'!B51</f>
        <v>Frame: 48 ----- Stem: Integrated w/30 ----- Aerobar: + 30 + bridge + 5</v>
      </c>
      <c r="C49">
        <f>$D$4+'Data - IA'!D51</f>
        <v>616</v>
      </c>
      <c r="D49">
        <f t="shared" si="0"/>
        <v>615</v>
      </c>
      <c r="E49" t="str">
        <f>'Data - IA'!F51&amp;" "</f>
        <v xml:space="preserve">Stem Bolts: 55mm ----- </v>
      </c>
      <c r="F49" t="str">
        <f>'Data - IA'!I51</f>
        <v xml:space="preserve">Aerobar Bolts: Top 35mm; Bottom 30mm </v>
      </c>
      <c r="G49" t="str">
        <f t="shared" si="2"/>
        <v xml:space="preserve">Stem Bolts: 55mm -----  Aerobar Bolts: Top 35mm; Bottom 30mm </v>
      </c>
    </row>
    <row r="50" spans="2:7" x14ac:dyDescent="0.25">
      <c r="B50" t="str">
        <f>TEXT($B$3,0) &amp;" ----- "&amp;'Data - IA'!B52</f>
        <v>Frame: 48 ----- Stem: Integrated w/30 ----- Aerobar: + 40 + bridge</v>
      </c>
      <c r="C50">
        <f>$D$4+'Data - IA'!D52</f>
        <v>621</v>
      </c>
      <c r="D50">
        <f t="shared" si="0"/>
        <v>620</v>
      </c>
      <c r="E50" t="str">
        <f>'Data - IA'!F52&amp;" "</f>
        <v xml:space="preserve">Stem Bolts: 55mm ----- </v>
      </c>
      <c r="F50" t="str">
        <f>'Data - IA'!I52</f>
        <v xml:space="preserve">Aerobar Bolts: Top 35mm; Bottom 30mm </v>
      </c>
      <c r="G50" t="str">
        <f t="shared" si="2"/>
        <v xml:space="preserve">Stem Bolts: 55mm -----  Aerobar Bolts: Top 35mm; Bottom 30mm </v>
      </c>
    </row>
    <row r="51" spans="2:7" x14ac:dyDescent="0.25">
      <c r="B51" t="str">
        <f>TEXT($B$3,0) &amp;" ----- "&amp;'Data - IA'!B53</f>
        <v>Frame: 48 ----- Stem: Integrated w/30 ----- Aerobar: + 40 + bridge + 5</v>
      </c>
      <c r="C51">
        <f>$D$4+'Data - IA'!D53</f>
        <v>626</v>
      </c>
      <c r="D51">
        <f t="shared" si="0"/>
        <v>625</v>
      </c>
      <c r="E51" t="str">
        <f>'Data - IA'!F53&amp;" "</f>
        <v xml:space="preserve">Stem Bolts: 55mm ----- </v>
      </c>
      <c r="F51" t="str">
        <f>'Data - IA'!I53</f>
        <v xml:space="preserve">Aerobar Bolts: Top 35mm; Bottom 30mm </v>
      </c>
      <c r="G51" t="str">
        <f t="shared" si="2"/>
        <v xml:space="preserve">Stem Bolts: 55mm -----  Aerobar Bolts: Top 35mm; Bottom 30mm </v>
      </c>
    </row>
    <row r="52" spans="2:7" x14ac:dyDescent="0.25">
      <c r="B52" t="str">
        <f>TEXT($B$3,0) &amp;" ----- "&amp;'Data - IA'!B54</f>
        <v>Frame: 48 ----- Stem: Integrated w/30 ----- Aerobar: + 40 + bridge + 10</v>
      </c>
      <c r="C52">
        <f>$D$4+'Data - IA'!D54</f>
        <v>631</v>
      </c>
      <c r="D52">
        <f t="shared" si="0"/>
        <v>630</v>
      </c>
      <c r="E52" t="str">
        <f>'Data - IA'!F54&amp;" "</f>
        <v xml:space="preserve">Stem Bolts: 55mm ----- </v>
      </c>
      <c r="F52" t="str">
        <f>'Data - IA'!I54</f>
        <v xml:space="preserve">Aerobar Bolts: Top 40mm; Bottom 30mm </v>
      </c>
      <c r="G52" t="str">
        <f t="shared" si="2"/>
        <v xml:space="preserve">Stem Bolts: 55mm -----  Aerobar Bolts: Top 40mm; Bottom 30mm </v>
      </c>
    </row>
    <row r="53" spans="2:7" x14ac:dyDescent="0.25">
      <c r="B53" t="str">
        <f>TEXT($B$3,0) &amp;" ----- "&amp;'Data - IA'!B55</f>
        <v>Frame: 48 ----- Stem: Integrated w/30 ----- Aerobar: + 40 + bridge + 10 + 5</v>
      </c>
      <c r="C53">
        <f>$D$4+'Data - IA'!D55</f>
        <v>636</v>
      </c>
      <c r="D53">
        <f t="shared" si="0"/>
        <v>635</v>
      </c>
      <c r="E53" t="str">
        <f>'Data - IA'!F55&amp;" "</f>
        <v xml:space="preserve">Stem Bolts: 55mm ----- </v>
      </c>
      <c r="F53" t="str">
        <f>'Data - IA'!I55</f>
        <v xml:space="preserve">Aerobar Bolts: Top 45mm; Bottom 30mm </v>
      </c>
      <c r="G53" t="str">
        <f t="shared" si="2"/>
        <v xml:space="preserve">Stem Bolts: 55mm -----  Aerobar Bolts: Top 45mm; Bottom 30mm </v>
      </c>
    </row>
    <row r="54" spans="2:7" x14ac:dyDescent="0.25">
      <c r="B54" t="str">
        <f>TEXT($B$3,0) &amp;" ----- "&amp;'Data - IA'!B56</f>
        <v xml:space="preserve">Frame: 48 ----- Stem: 31.8 ----- Carbon Aerobar: </v>
      </c>
      <c r="E54" t="str">
        <f>'Data - IA'!F56&amp;" "</f>
        <v xml:space="preserve">Stem Bolts: N/A ----- </v>
      </c>
      <c r="F54" t="str">
        <f>'Data - IA'!I56</f>
        <v xml:space="preserve">Aerobar Bolts: Top N/A; Bottom N/A </v>
      </c>
      <c r="G54" t="str">
        <f t="shared" si="2"/>
        <v xml:space="preserve">Stem Bolts: N/A -----  Aerobar Bolts: Top N/A; Bottom N/A </v>
      </c>
    </row>
    <row r="55" spans="2:7" x14ac:dyDescent="0.25">
      <c r="B55" t="str">
        <f>TEXT($B$3,0) &amp;" ----- "&amp;'Data - IA'!B57</f>
        <v>Frame: 48 ----- Stem: 31.8 ----- Carbon Aerobar: + 5</v>
      </c>
      <c r="C55">
        <f>$D$4+'Data - IA'!D57</f>
        <v>539</v>
      </c>
      <c r="D55">
        <f t="shared" ref="D55:D68" si="3">ROUND(C55/5,0)*5</f>
        <v>540</v>
      </c>
      <c r="E55" t="str">
        <f>'Data - IA'!F57&amp;" "</f>
        <v xml:space="preserve">Stem Bolts: N/A ----- </v>
      </c>
      <c r="F55" t="str">
        <f>'Data - IA'!I57</f>
        <v xml:space="preserve">Aerobar Bolts: Top 45mm; Bottom N/A </v>
      </c>
      <c r="G55" t="str">
        <f t="shared" si="2"/>
        <v xml:space="preserve">Stem Bolts: N/A -----  Aerobar Bolts: Top 45mm; Bottom N/A </v>
      </c>
    </row>
    <row r="56" spans="2:7" x14ac:dyDescent="0.25">
      <c r="B56" t="str">
        <f>TEXT($B$3,0) &amp;" ----- "&amp;'Data - IA'!B58</f>
        <v>Frame: 48 ----- Stem: 31.8 ----- Carbon Aerobar: + 10</v>
      </c>
      <c r="C56">
        <f>$D$4+'Data - IA'!D58</f>
        <v>544</v>
      </c>
      <c r="D56">
        <f t="shared" si="3"/>
        <v>545</v>
      </c>
      <c r="E56" t="str">
        <f>'Data - IA'!F58&amp;" "</f>
        <v xml:space="preserve">Stem Bolts: N/A ----- </v>
      </c>
      <c r="F56" t="str">
        <f>'Data - IA'!I58</f>
        <v xml:space="preserve">Aerobar Bolts: Top 50mm; Bottom N/A </v>
      </c>
      <c r="G56" t="str">
        <f t="shared" si="2"/>
        <v xml:space="preserve">Stem Bolts: N/A -----  Aerobar Bolts: Top 50mm; Bottom N/A </v>
      </c>
    </row>
    <row r="57" spans="2:7" x14ac:dyDescent="0.25">
      <c r="B57" t="str">
        <f>TEXT($B$3,0) &amp;" ----- "&amp;'Data - IA'!B59</f>
        <v>Frame: 48 ----- Stem: 31.8 ----- Carbon Aerobar: + 5 + 10</v>
      </c>
      <c r="C57">
        <f>$D$4+'Data - IA'!D59</f>
        <v>549</v>
      </c>
      <c r="D57">
        <f t="shared" si="3"/>
        <v>550</v>
      </c>
      <c r="E57" t="str">
        <f>'Data - IA'!F59&amp;" "</f>
        <v xml:space="preserve">Stem Bolts: N/A ----- </v>
      </c>
      <c r="F57" t="str">
        <f>'Data - IA'!I59</f>
        <v xml:space="preserve">Aerobar Bolts: Top 55mm; Bottom N/A </v>
      </c>
      <c r="G57" t="str">
        <f t="shared" si="2"/>
        <v xml:space="preserve">Stem Bolts: N/A -----  Aerobar Bolts: Top 55mm; Bottom N/A </v>
      </c>
    </row>
    <row r="58" spans="2:7" x14ac:dyDescent="0.25">
      <c r="B58" t="str">
        <f>TEXT($B$3,0) &amp;" ----- "&amp;'Data - IA'!B60</f>
        <v>Frame: 48 ----- Stem: 31.8 ----- Carbon Aerobar: + 20</v>
      </c>
      <c r="C58">
        <f>$D$4+'Data - IA'!D60</f>
        <v>554</v>
      </c>
      <c r="D58">
        <f t="shared" si="3"/>
        <v>555</v>
      </c>
      <c r="E58" t="str">
        <f>'Data - IA'!F60&amp;" "</f>
        <v xml:space="preserve">Stem Bolts: N/A ----- </v>
      </c>
      <c r="F58" t="str">
        <f>'Data - IA'!I60</f>
        <v xml:space="preserve">Aerobar Bolts: Top 20mm; Bottom 30mm </v>
      </c>
      <c r="G58" t="str">
        <f t="shared" si="2"/>
        <v xml:space="preserve">Stem Bolts: N/A -----  Aerobar Bolts: Top 20mm; Bottom 30mm </v>
      </c>
    </row>
    <row r="59" spans="2:7" x14ac:dyDescent="0.25">
      <c r="B59" t="str">
        <f>TEXT($B$3,0) &amp;" ----- "&amp;'Data - IA'!B61</f>
        <v>Frame: 48 ----- Stem: 31.8 ----- Carbon Aerobar: + 20 + 5</v>
      </c>
      <c r="C59">
        <f>$D$4+'Data - IA'!D61</f>
        <v>559</v>
      </c>
      <c r="D59">
        <f t="shared" si="3"/>
        <v>560</v>
      </c>
      <c r="E59" t="str">
        <f>'Data - IA'!F61&amp;" "</f>
        <v xml:space="preserve">Stem Bolts: N/A ----- </v>
      </c>
      <c r="F59" t="str">
        <f>'Data - IA'!I61</f>
        <v xml:space="preserve">Aerobar Bolts: Top 25mm; Bottom 30mm </v>
      </c>
      <c r="G59" t="str">
        <f t="shared" si="2"/>
        <v xml:space="preserve">Stem Bolts: N/A -----  Aerobar Bolts: Top 25mm; Bottom 30mm </v>
      </c>
    </row>
    <row r="60" spans="2:7" x14ac:dyDescent="0.25">
      <c r="B60" t="str">
        <f>TEXT($B$3,0) &amp;" ----- "&amp;'Data - IA'!B62</f>
        <v>Frame: 48 ----- Stem: 31.8 ----- Carbon Aerobar: + 20 + bridge</v>
      </c>
      <c r="C60">
        <f>$D$4+'Data - IA'!D62</f>
        <v>559</v>
      </c>
      <c r="D60">
        <f t="shared" si="3"/>
        <v>560</v>
      </c>
      <c r="E60" t="str">
        <f>'Data - IA'!F62&amp;" "</f>
        <v xml:space="preserve">Stem Bolts: N/A ----- </v>
      </c>
      <c r="F60" t="str">
        <f>'Data - IA'!I62</f>
        <v xml:space="preserve">Aerobar Bolts: Top 25mm; Bottom 30mm </v>
      </c>
      <c r="G60" t="str">
        <f t="shared" si="2"/>
        <v xml:space="preserve">Stem Bolts: N/A -----  Aerobar Bolts: Top 25mm; Bottom 30mm </v>
      </c>
    </row>
    <row r="61" spans="2:7" x14ac:dyDescent="0.25">
      <c r="B61" t="str">
        <f>TEXT($B$3,0) &amp;" ----- "&amp;'Data - IA'!B63</f>
        <v>Frame: 48 ----- Stem: 31.8 ----- Carbon Aerobar: + 30</v>
      </c>
      <c r="C61">
        <f>$D$4+'Data - IA'!D63</f>
        <v>564</v>
      </c>
      <c r="D61">
        <f t="shared" si="3"/>
        <v>565</v>
      </c>
      <c r="E61" t="str">
        <f>'Data - IA'!F63&amp;" "</f>
        <v xml:space="preserve">Stem Bolts: N/A ----- </v>
      </c>
      <c r="F61" t="str">
        <f>'Data - IA'!I63</f>
        <v xml:space="preserve">Aerobar Bolts: Top 25mm; Bottom 30mm </v>
      </c>
      <c r="G61" t="str">
        <f t="shared" si="2"/>
        <v xml:space="preserve">Stem Bolts: N/A -----  Aerobar Bolts: Top 25mm; Bottom 30mm </v>
      </c>
    </row>
    <row r="62" spans="2:7" x14ac:dyDescent="0.25">
      <c r="B62" t="str">
        <f>TEXT($B$3,0) &amp;" ----- "&amp;'Data - IA'!B64</f>
        <v>Frame: 48 ----- Stem: 31.8 ----- Carbon Aerobar: + 20 + bridge + 5</v>
      </c>
      <c r="C62">
        <f>$D$4+'Data - IA'!D64</f>
        <v>564</v>
      </c>
      <c r="D62">
        <f t="shared" si="3"/>
        <v>565</v>
      </c>
      <c r="E62" t="str">
        <f>'Data - IA'!F64&amp;" "</f>
        <v xml:space="preserve">Stem Bolts: N/A ----- </v>
      </c>
      <c r="F62" t="str">
        <f>'Data - IA'!I64</f>
        <v xml:space="preserve">Aerobar Bolts: Top 30mm; Bottom 30mm </v>
      </c>
      <c r="G62" t="str">
        <f t="shared" si="2"/>
        <v xml:space="preserve">Stem Bolts: N/A -----  Aerobar Bolts: Top 30mm; Bottom 30mm </v>
      </c>
    </row>
    <row r="63" spans="2:7" x14ac:dyDescent="0.25">
      <c r="B63" t="str">
        <f>TEXT($B$3,0) &amp;" ----- "&amp;'Data - IA'!B65</f>
        <v>Frame: 48 ----- Stem: 31.8 ----- Carbon Aerobar: + 30 + bridge</v>
      </c>
      <c r="C63">
        <f>$D$4+'Data - IA'!D65</f>
        <v>569</v>
      </c>
      <c r="D63">
        <f t="shared" si="3"/>
        <v>570</v>
      </c>
      <c r="E63" t="str">
        <f>'Data - IA'!F65&amp;" "</f>
        <v xml:space="preserve">Stem Bolts: N/A ----- </v>
      </c>
      <c r="F63" t="str">
        <f>'Data - IA'!I65</f>
        <v xml:space="preserve">Aerobar Bolts: Top 30mm; Bottom 30mm </v>
      </c>
      <c r="G63" t="str">
        <f t="shared" si="2"/>
        <v xml:space="preserve">Stem Bolts: N/A -----  Aerobar Bolts: Top 30mm; Bottom 30mm </v>
      </c>
    </row>
    <row r="64" spans="2:7" x14ac:dyDescent="0.25">
      <c r="B64" t="str">
        <f>TEXT($B$3,0) &amp;" ----- "&amp;'Data - IA'!B66</f>
        <v>Frame: 48 ----- Stem: 31.8 ----- Carbon Aerobar: + 30 + bridge + 5</v>
      </c>
      <c r="C64">
        <f>$D$4+'Data - IA'!D66</f>
        <v>574</v>
      </c>
      <c r="D64">
        <f t="shared" si="3"/>
        <v>575</v>
      </c>
      <c r="E64" t="str">
        <f>'Data - IA'!F66&amp;" "</f>
        <v xml:space="preserve">Stem Bolts: N/A ----- </v>
      </c>
      <c r="F64" t="str">
        <f>'Data - IA'!I66</f>
        <v xml:space="preserve">Aerobar Bolts: Top 35mm; Bottom 30mm </v>
      </c>
      <c r="G64" t="str">
        <f>E64&amp;" "&amp;F64</f>
        <v xml:space="preserve">Stem Bolts: N/A -----  Aerobar Bolts: Top 35mm; Bottom 30mm </v>
      </c>
    </row>
    <row r="65" spans="2:7" x14ac:dyDescent="0.25">
      <c r="B65" t="str">
        <f>TEXT($B$3,0) &amp;" ----- "&amp;'Data - IA'!B67</f>
        <v>Frame: 48 ----- Stem: 31.8 ----- Carbon Aerobar: + 40 + bridge</v>
      </c>
      <c r="C65">
        <f>$D$4+'Data - IA'!D67</f>
        <v>579</v>
      </c>
      <c r="D65">
        <f t="shared" si="3"/>
        <v>580</v>
      </c>
      <c r="E65" t="str">
        <f>'Data - IA'!F67&amp;" "</f>
        <v xml:space="preserve">Stem Bolts: N/A ----- </v>
      </c>
      <c r="F65" t="str">
        <f>'Data - IA'!I67</f>
        <v xml:space="preserve">Aerobar Bolts: Top 35mm; Bottom 30mm </v>
      </c>
      <c r="G65" t="str">
        <f t="shared" ref="G65:G67" si="4">E65&amp;" "&amp;F65</f>
        <v xml:space="preserve">Stem Bolts: N/A -----  Aerobar Bolts: Top 35mm; Bottom 30mm </v>
      </c>
    </row>
    <row r="66" spans="2:7" x14ac:dyDescent="0.25">
      <c r="B66" t="str">
        <f>TEXT($B$3,0) &amp;" ----- "&amp;'Data - IA'!B68</f>
        <v>Frame: 48 ----- Stem: 31.8 ----- Carbon Aerobar: + 40 + bridge + 5</v>
      </c>
      <c r="C66">
        <f>$D$4+'Data - IA'!D68</f>
        <v>584</v>
      </c>
      <c r="D66">
        <f t="shared" si="3"/>
        <v>585</v>
      </c>
      <c r="E66" t="str">
        <f>'Data - IA'!F68&amp;" "</f>
        <v xml:space="preserve">Stem Bolts: N/A ----- </v>
      </c>
      <c r="F66" t="str">
        <f>'Data - IA'!I68</f>
        <v xml:space="preserve">Aerobar Bolts: Top 35mm; Bottom 30mm </v>
      </c>
      <c r="G66" t="str">
        <f t="shared" si="4"/>
        <v xml:space="preserve">Stem Bolts: N/A -----  Aerobar Bolts: Top 35mm; Bottom 30mm </v>
      </c>
    </row>
    <row r="67" spans="2:7" x14ac:dyDescent="0.25">
      <c r="B67" t="str">
        <f>TEXT($B$3,0) &amp;" ----- "&amp;'Data - IA'!B69</f>
        <v>Frame: 48 ----- Stem: 31.8 ----- Carbon Aerobar: + 40 + bridge + 10</v>
      </c>
      <c r="C67">
        <f>$D$4+'Data - IA'!D69</f>
        <v>589</v>
      </c>
      <c r="D67">
        <f t="shared" si="3"/>
        <v>590</v>
      </c>
      <c r="E67" t="str">
        <f>'Data - IA'!F69&amp;" "</f>
        <v xml:space="preserve">Stem Bolts: N/A ----- </v>
      </c>
      <c r="F67" t="str">
        <f>'Data - IA'!I69</f>
        <v xml:space="preserve">Aerobar Bolts: Top 40mm; Bottom 30mm </v>
      </c>
      <c r="G67" t="str">
        <f t="shared" si="4"/>
        <v xml:space="preserve">Stem Bolts: N/A -----  Aerobar Bolts: Top 40mm; Bottom 30mm </v>
      </c>
    </row>
    <row r="68" spans="2:7" x14ac:dyDescent="0.25">
      <c r="B68" t="str">
        <f>TEXT($B$3,0) &amp;" ----- "&amp;'Data - IA'!B70</f>
        <v>Frame: 48 ----- Stem: 31.8 ----- Carbon Aerobar: + 40 + bridge + 10 + 5</v>
      </c>
      <c r="C68">
        <f>$D$4+'Data - IA'!D70</f>
        <v>594</v>
      </c>
      <c r="D68">
        <f t="shared" si="3"/>
        <v>595</v>
      </c>
      <c r="E68" t="str">
        <f>'Data - IA'!F70&amp;" "</f>
        <v xml:space="preserve">Stem Bolts: N/A ----- </v>
      </c>
      <c r="F68" t="str">
        <f>'Data - IA'!I70</f>
        <v xml:space="preserve">Aerobar Bolts: Top 45mm; Bottom 30mm </v>
      </c>
      <c r="G68" t="str">
        <f>E68&amp;" "&amp;F68</f>
        <v xml:space="preserve">Stem Bolts: N/A -----  Aerobar Bolts: Top 45mm; Bottom 30mm </v>
      </c>
    </row>
    <row r="69" spans="2:7" x14ac:dyDescent="0.25">
      <c r="B69" t="str">
        <f>TEXT($B$3,0) &amp;" ----- "&amp;'Data - IA'!B71</f>
        <v xml:space="preserve">Frame: 48 ----- Stem: 31.8 ----- Alloy Aerobar: </v>
      </c>
      <c r="C69">
        <f>$D$4+'Data - IA'!D71</f>
        <v>549</v>
      </c>
      <c r="D69">
        <f t="shared" ref="D69:D83" si="5">ROUND(C69/5,0)*5</f>
        <v>550</v>
      </c>
      <c r="E69" t="str">
        <f>'Data - IA'!F71&amp;" "</f>
        <v xml:space="preserve">Stem Bolts: N/A ----- </v>
      </c>
      <c r="F69" t="str">
        <f>'Data - IA'!I71</f>
        <v xml:space="preserve">Aerobar Bolts: Top 20mm; Bottom N/A </v>
      </c>
      <c r="G69" t="str">
        <f t="shared" ref="G69:G83" si="6">E69&amp;" "&amp;F69</f>
        <v xml:space="preserve">Stem Bolts: N/A -----  Aerobar Bolts: Top 20mm; Bottom N/A </v>
      </c>
    </row>
    <row r="70" spans="2:7" x14ac:dyDescent="0.25">
      <c r="B70" t="str">
        <f>TEXT($B$3,0) &amp;" ----- "&amp;'Data - IA'!B72</f>
        <v>Frame: 48 ----- Stem: 31.8 ----- Alloy Aerobar: + 5</v>
      </c>
      <c r="C70">
        <f>$D$4+'Data - IA'!D72</f>
        <v>554</v>
      </c>
      <c r="D70">
        <f t="shared" si="5"/>
        <v>555</v>
      </c>
      <c r="E70" t="str">
        <f>'Data - IA'!F72&amp;" "</f>
        <v xml:space="preserve">Stem Bolts: N/A ----- </v>
      </c>
      <c r="F70" t="str">
        <f>'Data - IA'!I72</f>
        <v xml:space="preserve">Aerobar Bolts: Top 25mm; Bottom N/A </v>
      </c>
      <c r="G70" t="str">
        <f t="shared" si="6"/>
        <v xml:space="preserve">Stem Bolts: N/A -----  Aerobar Bolts: Top 25mm; Bottom N/A </v>
      </c>
    </row>
    <row r="71" spans="2:7" x14ac:dyDescent="0.25">
      <c r="B71" t="str">
        <f>TEXT($B$3,0) &amp;" ----- "&amp;'Data - IA'!B73</f>
        <v>Frame: 48 ----- Stem: 31.8 ----- Alloy Aerobar: + 10</v>
      </c>
      <c r="C71">
        <f>$D$4+'Data - IA'!D73</f>
        <v>559</v>
      </c>
      <c r="D71">
        <f t="shared" si="5"/>
        <v>560</v>
      </c>
      <c r="E71" t="str">
        <f>'Data - IA'!F73&amp;" "</f>
        <v xml:space="preserve">Stem Bolts: N/A ----- </v>
      </c>
      <c r="F71" t="str">
        <f>'Data - IA'!I73</f>
        <v xml:space="preserve">Aerobar Bolts: Top 30mm; Bottom N/A </v>
      </c>
      <c r="G71" t="str">
        <f t="shared" si="6"/>
        <v xml:space="preserve">Stem Bolts: N/A -----  Aerobar Bolts: Top 30mm; Bottom N/A </v>
      </c>
    </row>
    <row r="72" spans="2:7" x14ac:dyDescent="0.25">
      <c r="B72" t="str">
        <f>TEXT($B$3,0) &amp;" ----- "&amp;'Data - IA'!B74</f>
        <v>Frame: 48 ----- Stem: 31.8 ----- Alloy Aerobar: + 5 + 10</v>
      </c>
      <c r="C72">
        <f>$D$4+'Data - IA'!D74</f>
        <v>564</v>
      </c>
      <c r="D72">
        <f t="shared" si="5"/>
        <v>565</v>
      </c>
      <c r="E72" t="str">
        <f>'Data - IA'!F74&amp;" "</f>
        <v xml:space="preserve">Stem Bolts: N/A ----- </v>
      </c>
      <c r="F72" t="str">
        <f>'Data - IA'!I74</f>
        <v xml:space="preserve">Aerobar Bolts: Top 35mm; Bottom N/A </v>
      </c>
      <c r="G72" t="str">
        <f t="shared" si="6"/>
        <v xml:space="preserve">Stem Bolts: N/A -----  Aerobar Bolts: Top 35mm; Bottom N/A </v>
      </c>
    </row>
    <row r="73" spans="2:7" x14ac:dyDescent="0.25">
      <c r="B73" t="str">
        <f>TEXT($B$3,0) &amp;" ----- "&amp;'Data - IA'!B75</f>
        <v>Frame: 48 ----- Stem: 31.8 ----- Alloy Aerobar: + 20</v>
      </c>
      <c r="C73">
        <f>$D$4+'Data - IA'!D75</f>
        <v>569</v>
      </c>
      <c r="D73">
        <f t="shared" si="5"/>
        <v>570</v>
      </c>
      <c r="E73" t="str">
        <f>'Data - IA'!F75&amp;" "</f>
        <v xml:space="preserve">Stem Bolts: N/A ----- </v>
      </c>
      <c r="F73" t="str">
        <f>'Data - IA'!I75</f>
        <v xml:space="preserve">Aerobar Bolts: Top 20mm; Bottom 15mm </v>
      </c>
      <c r="G73" t="str">
        <f t="shared" si="6"/>
        <v xml:space="preserve">Stem Bolts: N/A -----  Aerobar Bolts: Top 20mm; Bottom 15mm </v>
      </c>
    </row>
    <row r="74" spans="2:7" x14ac:dyDescent="0.25">
      <c r="B74" t="str">
        <f>TEXT($B$3,0) &amp;" ----- "&amp;'Data - IA'!B76</f>
        <v xml:space="preserve">Frame: 48 ----- Stem: 31.8 ----- Alloy Aerobar: + 20 + 5 </v>
      </c>
      <c r="C74">
        <f>$D$4+'Data - IA'!D76</f>
        <v>574</v>
      </c>
      <c r="D74">
        <f t="shared" si="5"/>
        <v>575</v>
      </c>
      <c r="E74" t="str">
        <f>'Data - IA'!F76&amp;" "</f>
        <v xml:space="preserve">Stem Bolts: N/A ----- </v>
      </c>
      <c r="F74" t="str">
        <f>'Data - IA'!I76</f>
        <v xml:space="preserve">Aerobar Bolts: Top 25mm; Bottom 15mm </v>
      </c>
      <c r="G74" t="str">
        <f t="shared" si="6"/>
        <v xml:space="preserve">Stem Bolts: N/A -----  Aerobar Bolts: Top 25mm; Bottom 15mm </v>
      </c>
    </row>
    <row r="75" spans="2:7" x14ac:dyDescent="0.25">
      <c r="B75" t="str">
        <f>TEXT($B$3,0) &amp;" ----- "&amp;'Data - IA'!B77</f>
        <v>Frame: 48 ----- Stem: 31.8 ----- Alloy Aerobar: + 20 + bridge</v>
      </c>
      <c r="C75">
        <f>$D$4+'Data - IA'!D77</f>
        <v>574</v>
      </c>
      <c r="D75">
        <f t="shared" si="5"/>
        <v>575</v>
      </c>
      <c r="E75" t="str">
        <f>'Data - IA'!F77&amp;" "</f>
        <v xml:space="preserve">Stem Bolts: N/A ----- </v>
      </c>
      <c r="F75" t="str">
        <f>'Data - IA'!I77</f>
        <v xml:space="preserve">Aerobar Bolts: Top 25mm; Bottom 15mm </v>
      </c>
      <c r="G75" t="str">
        <f t="shared" si="6"/>
        <v xml:space="preserve">Stem Bolts: N/A -----  Aerobar Bolts: Top 25mm; Bottom 15mm </v>
      </c>
    </row>
    <row r="76" spans="2:7" x14ac:dyDescent="0.25">
      <c r="B76" t="str">
        <f>TEXT($B$3,0) &amp;" ----- "&amp;'Data - IA'!B78</f>
        <v>Frame: 48 ----- Stem: 31.8 ----- Alloy Aerobar: + 20 + bridge + 5</v>
      </c>
      <c r="C76">
        <f>$D$4+'Data - IA'!D78</f>
        <v>579</v>
      </c>
      <c r="D76">
        <f t="shared" si="5"/>
        <v>580</v>
      </c>
      <c r="E76" t="str">
        <f>'Data - IA'!F78&amp;" "</f>
        <v xml:space="preserve">Stem Bolts: N/A ----- </v>
      </c>
      <c r="F76" t="str">
        <f>'Data - IA'!I78</f>
        <v xml:space="preserve">Aerobar Bolts: Top 25mm; Bottom 15mm </v>
      </c>
      <c r="G76" t="str">
        <f t="shared" si="6"/>
        <v xml:space="preserve">Stem Bolts: N/A -----  Aerobar Bolts: Top 25mm; Bottom 15mm </v>
      </c>
    </row>
    <row r="77" spans="2:7" x14ac:dyDescent="0.25">
      <c r="B77" t="str">
        <f>TEXT($B$3,0) &amp;" ----- "&amp;'Data - IA'!B79</f>
        <v>Frame: 48 ----- Stem: 31.8 ----- Alloy Aerobar: + 30</v>
      </c>
      <c r="C77">
        <f>$D$4+'Data - IA'!D79</f>
        <v>579</v>
      </c>
      <c r="D77">
        <f t="shared" si="5"/>
        <v>580</v>
      </c>
      <c r="E77" t="str">
        <f>'Data - IA'!F79&amp;" "</f>
        <v xml:space="preserve">Stem Bolts: N/A ----- </v>
      </c>
      <c r="F77" t="str">
        <f>'Data - IA'!I79</f>
        <v xml:space="preserve">Aerobar Bolts: Top 25mm; Bottom 15mm </v>
      </c>
      <c r="G77" t="str">
        <f t="shared" si="6"/>
        <v xml:space="preserve">Stem Bolts: N/A -----  Aerobar Bolts: Top 25mm; Bottom 15mm </v>
      </c>
    </row>
    <row r="78" spans="2:7" x14ac:dyDescent="0.25">
      <c r="B78" t="str">
        <f>TEXT($B$3,0) &amp;" ----- "&amp;'Data - IA'!B80</f>
        <v>Frame: 48 ----- Stem: 31.8 ----- Alloy Aerobar: + 30 + bridge</v>
      </c>
      <c r="C78">
        <f>$D$4+'Data - IA'!D80</f>
        <v>584</v>
      </c>
      <c r="D78">
        <f t="shared" si="5"/>
        <v>585</v>
      </c>
      <c r="E78" t="str">
        <f>'Data - IA'!F80&amp;" "</f>
        <v xml:space="preserve">Stem Bolts: N/A ----- </v>
      </c>
      <c r="F78" t="str">
        <f>'Data - IA'!I80</f>
        <v xml:space="preserve">Aerobar Bolts: Top 30mm; Bottom 15mm </v>
      </c>
      <c r="G78" t="str">
        <f t="shared" si="6"/>
        <v xml:space="preserve">Stem Bolts: N/A -----  Aerobar Bolts: Top 30mm; Bottom 15mm </v>
      </c>
    </row>
    <row r="79" spans="2:7" x14ac:dyDescent="0.25">
      <c r="B79" t="str">
        <f>TEXT($B$3,0) &amp;" ----- "&amp;'Data - IA'!B81</f>
        <v>Frame: 48 ----- Stem: 31.8 ----- Alloy Aerobar: + 30 + bridge + 5</v>
      </c>
      <c r="C79">
        <f>$D$4+'Data - IA'!D81</f>
        <v>589</v>
      </c>
      <c r="D79">
        <f t="shared" si="5"/>
        <v>590</v>
      </c>
      <c r="E79" t="str">
        <f>'Data - IA'!F81&amp;" "</f>
        <v xml:space="preserve">Stem Bolts: N/A ----- </v>
      </c>
      <c r="F79" t="str">
        <f>'Data - IA'!I81</f>
        <v xml:space="preserve">Aerobar Bolts: Top 30mm; Bottom 15mm </v>
      </c>
      <c r="G79" t="str">
        <f t="shared" si="6"/>
        <v xml:space="preserve">Stem Bolts: N/A -----  Aerobar Bolts: Top 30mm; Bottom 15mm </v>
      </c>
    </row>
    <row r="80" spans="2:7" x14ac:dyDescent="0.25">
      <c r="B80" t="str">
        <f>TEXT($B$3,0) &amp;" ----- "&amp;'Data - IA'!B82</f>
        <v>Frame: 48 ----- Stem: 31.8 ----- Alloy Aerobar: + 40 + bridge</v>
      </c>
      <c r="C80">
        <f>$D$4+'Data - IA'!D82</f>
        <v>594</v>
      </c>
      <c r="D80">
        <f t="shared" si="5"/>
        <v>595</v>
      </c>
      <c r="E80" t="str">
        <f>'Data - IA'!F82&amp;" "</f>
        <v xml:space="preserve">Stem Bolts: N/A ----- </v>
      </c>
      <c r="F80" t="str">
        <f>'Data - IA'!I82</f>
        <v xml:space="preserve">Aerobar Bolts: Top 35mm; Bottom 15mm </v>
      </c>
      <c r="G80" t="str">
        <f t="shared" si="6"/>
        <v xml:space="preserve">Stem Bolts: N/A -----  Aerobar Bolts: Top 35mm; Bottom 15mm </v>
      </c>
    </row>
    <row r="81" spans="2:7" x14ac:dyDescent="0.25">
      <c r="B81" t="str">
        <f>TEXT($B$3,0) &amp;" ----- "&amp;'Data - IA'!B83</f>
        <v>Frame: 48 ----- Stem: 31.8 ----- Alloy Aerobar: + 40 + bridge + 5</v>
      </c>
      <c r="C81">
        <f>$D$4+'Data - IA'!D83</f>
        <v>599</v>
      </c>
      <c r="D81">
        <f t="shared" si="5"/>
        <v>600</v>
      </c>
      <c r="E81" t="str">
        <f>'Data - IA'!F83&amp;" "</f>
        <v xml:space="preserve">Stem Bolts: N/A ----- </v>
      </c>
      <c r="F81" t="str">
        <f>'Data - IA'!I83</f>
        <v xml:space="preserve">Aerobar Bolts: Top 35mm; Bottom 15mm </v>
      </c>
      <c r="G81" t="str">
        <f t="shared" si="6"/>
        <v xml:space="preserve">Stem Bolts: N/A -----  Aerobar Bolts: Top 35mm; Bottom 15mm </v>
      </c>
    </row>
    <row r="82" spans="2:7" x14ac:dyDescent="0.25">
      <c r="B82" t="str">
        <f>TEXT($B$3,0) &amp;" ----- "&amp;'Data - IA'!B84</f>
        <v>Frame: 48 ----- Stem: 31.8 ----- Alloy Aerobar: + 40 + bridge + 10</v>
      </c>
      <c r="C82">
        <f>$D$4+'Data - IA'!D84</f>
        <v>604</v>
      </c>
      <c r="D82">
        <f t="shared" si="5"/>
        <v>605</v>
      </c>
      <c r="E82" t="str">
        <f>'Data - IA'!F84&amp;" "</f>
        <v xml:space="preserve">Stem Bolts: N/A ----- </v>
      </c>
      <c r="F82" t="str">
        <f>'Data - IA'!I84</f>
        <v xml:space="preserve">Aerobar Bolts: Top 35mm; Bottom 15mm </v>
      </c>
      <c r="G82" t="str">
        <f t="shared" si="6"/>
        <v xml:space="preserve">Stem Bolts: N/A -----  Aerobar Bolts: Top 35mm; Bottom 15mm </v>
      </c>
    </row>
    <row r="83" spans="2:7" x14ac:dyDescent="0.25">
      <c r="B83" t="str">
        <f>TEXT($B$3,0) &amp;" ----- "&amp;'Data - IA'!B85</f>
        <v>Frame: 48 ----- Stem: 31.8 ----- Alloy Aerobar: + 40 + bridge + 5 + 10</v>
      </c>
      <c r="C83">
        <f>$D$4+'Data - IA'!D85</f>
        <v>609</v>
      </c>
      <c r="D83">
        <f t="shared" si="5"/>
        <v>610</v>
      </c>
      <c r="E83" t="str">
        <f>'Data - IA'!F85&amp;" "</f>
        <v xml:space="preserve">Stem Bolts: N/A ----- </v>
      </c>
      <c r="F83" t="str">
        <f>'Data - IA'!I85</f>
        <v xml:space="preserve">Aerobar Bolts: Top 35mm; Bottom 25mm </v>
      </c>
      <c r="G83" t="str">
        <f t="shared" si="6"/>
        <v xml:space="preserve">Stem Bolts: N/A -----  Aerobar Bolts: Top 35mm; Bottom 25mm 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6" tint="-0.249977111117893"/>
  </sheetPr>
  <dimension ref="B2:J38"/>
  <sheetViews>
    <sheetView zoomScale="70" zoomScaleNormal="70" workbookViewId="0">
      <selection activeCell="C25" sqref="C25"/>
    </sheetView>
  </sheetViews>
  <sheetFormatPr defaultRowHeight="15" x14ac:dyDescent="0.25"/>
  <cols>
    <col min="2" max="2" width="68.140625" customWidth="1"/>
    <col min="5" max="5" width="23" customWidth="1"/>
    <col min="6" max="6" width="44.42578125" customWidth="1"/>
    <col min="8" max="8" width="20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100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f>'Data - IAx'!C5</f>
        <v>395</v>
      </c>
      <c r="D4">
        <f>'Data - IAx'!D5</f>
        <v>489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440</v>
      </c>
    </row>
    <row r="7" spans="2:10" x14ac:dyDescent="0.25">
      <c r="H7" t="s">
        <v>34</v>
      </c>
      <c r="I7">
        <f>C4+'Data - IA'!$C$57</f>
        <v>485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IAx'!B11</f>
        <v xml:space="preserve">Frame: 51 ----- Stem: Integrated ----- Alloy Aerobar: </v>
      </c>
      <c r="C9">
        <f>$D$4+'Data - IAx'!D11</f>
        <v>583</v>
      </c>
      <c r="D9">
        <f t="shared" ref="D9:D23" si="0">ROUND(C9/5,0)*5</f>
        <v>585</v>
      </c>
      <c r="E9" t="str">
        <f>'Data - IAx'!F11</f>
        <v>Stem Bolts: N/A -----</v>
      </c>
      <c r="F9" t="str">
        <f>'Data - IAx'!I11</f>
        <v xml:space="preserve">Aerobar Bolts: Top 20mm; Bottom N/A </v>
      </c>
      <c r="G9" t="str">
        <f t="shared" ref="G9:G23" si="1">E9&amp;" "&amp;F9</f>
        <v xml:space="preserve">Stem Bolts: N/A ----- Aerobar Bolts: Top 20mm; Bottom N/A </v>
      </c>
    </row>
    <row r="10" spans="2:10" x14ac:dyDescent="0.25">
      <c r="B10" t="str">
        <f>TEXT($B$3,0) &amp;" ----- "&amp;'Data - IAx'!B12</f>
        <v>Frame: 51 ----- Stem: Integrated ----- Alloy Aerobar: + 5</v>
      </c>
      <c r="C10">
        <f>$D$4+'Data - IAx'!D12</f>
        <v>588</v>
      </c>
      <c r="D10">
        <f t="shared" si="0"/>
        <v>590</v>
      </c>
      <c r="E10" t="str">
        <f>'Data - IAx'!F12</f>
        <v>Stem Bolts: N/A -----</v>
      </c>
      <c r="F10" t="str">
        <f>'Data - IAx'!I12</f>
        <v xml:space="preserve">Aerobar Bolts: Top 25mm; Bottom N/A </v>
      </c>
      <c r="G10" t="str">
        <f t="shared" si="1"/>
        <v xml:space="preserve">Stem Bolts: N/A ----- Aerobar Bolts: Top 25mm; Bottom N/A </v>
      </c>
    </row>
    <row r="11" spans="2:10" x14ac:dyDescent="0.25">
      <c r="B11" t="str">
        <f>TEXT($B$3,0) &amp;" ----- "&amp;'Data - IAx'!B13</f>
        <v>Frame: 51 ----- Stem: Integrated ----- Alloy Aerobar: + 10</v>
      </c>
      <c r="C11">
        <f>$D$4+'Data - IAx'!D13</f>
        <v>593</v>
      </c>
      <c r="D11">
        <f t="shared" si="0"/>
        <v>595</v>
      </c>
      <c r="E11" t="str">
        <f>'Data - IAx'!F13</f>
        <v>Stem Bolts: N/A -----</v>
      </c>
      <c r="F11" t="str">
        <f>'Data - IAx'!I13</f>
        <v xml:space="preserve">Aerobar Bolts: Top 30mm; Bottom N/A </v>
      </c>
      <c r="G11" t="str">
        <f t="shared" si="1"/>
        <v xml:space="preserve">Stem Bolts: N/A ----- Aerobar Bolts: Top 30mm; Bottom N/A </v>
      </c>
    </row>
    <row r="12" spans="2:10" x14ac:dyDescent="0.25">
      <c r="B12" t="str">
        <f>TEXT($B$3,0) &amp;" ----- "&amp;'Data - IAx'!B14</f>
        <v>Frame: 51 ----- Stem: Integrated ----- Alloy Aerobar: + 5 + 10</v>
      </c>
      <c r="C12">
        <f>$D$4+'Data - IAx'!D14</f>
        <v>598</v>
      </c>
      <c r="D12">
        <f t="shared" si="0"/>
        <v>600</v>
      </c>
      <c r="E12" t="str">
        <f>'Data - IAx'!F14</f>
        <v>Stem Bolts: N/A -----</v>
      </c>
      <c r="F12" t="str">
        <f>'Data - IAx'!I14</f>
        <v xml:space="preserve">Aerobar Bolts: Top 35mm; Bottom N/A </v>
      </c>
      <c r="G12" t="str">
        <f t="shared" si="1"/>
        <v xml:space="preserve">Stem Bolts: N/A ----- Aerobar Bolts: Top 35mm; Bottom N/A </v>
      </c>
    </row>
    <row r="13" spans="2:10" x14ac:dyDescent="0.25">
      <c r="B13" t="str">
        <f>TEXT($B$3,0) &amp;" ----- "&amp;'Data - IAx'!B15</f>
        <v>Frame: 51 ----- Stem: Integrated ----- Alloy Aerobar: + 20</v>
      </c>
      <c r="C13">
        <f>$D$4+'Data - IAx'!D15</f>
        <v>603</v>
      </c>
      <c r="D13">
        <f t="shared" si="0"/>
        <v>605</v>
      </c>
      <c r="E13" t="str">
        <f>'Data - IAx'!F15</f>
        <v>Stem Bolts: N/A -----</v>
      </c>
      <c r="F13" t="str">
        <f>'Data - IAx'!I15</f>
        <v xml:space="preserve">Aerobar Bolts: Top 20mm; Bottom 15mm </v>
      </c>
      <c r="G13" t="str">
        <f t="shared" si="1"/>
        <v xml:space="preserve">Stem Bolts: N/A ----- Aerobar Bolts: Top 20mm; Bottom 15mm </v>
      </c>
    </row>
    <row r="14" spans="2:10" x14ac:dyDescent="0.25">
      <c r="B14" t="str">
        <f>TEXT($B$3,0) &amp;" ----- "&amp;'Data - IAx'!B16</f>
        <v xml:space="preserve">Frame: 51 ----- Stem: Integrated ----- Alloy Aerobar: + 20 + 5 </v>
      </c>
      <c r="C14">
        <f>$D$4+'Data - IAx'!D16</f>
        <v>608</v>
      </c>
      <c r="D14">
        <f t="shared" si="0"/>
        <v>610</v>
      </c>
      <c r="E14" t="str">
        <f>'Data - IAx'!F16</f>
        <v>Stem Bolts: N/A -----</v>
      </c>
      <c r="F14" t="str">
        <f>'Data - IAx'!I16</f>
        <v xml:space="preserve">Aerobar Bolts: Top 25mm; Bottom 15mm </v>
      </c>
      <c r="G14" t="str">
        <f t="shared" si="1"/>
        <v xml:space="preserve">Stem Bolts: N/A ----- Aerobar Bolts: Top 25mm; Bottom 15mm </v>
      </c>
    </row>
    <row r="15" spans="2:10" x14ac:dyDescent="0.25">
      <c r="B15" t="str">
        <f>TEXT($B$3,0) &amp;" ----- "&amp;'Data - IAx'!B17</f>
        <v>Frame: 51 ----- Stem: Integrated ----- Alloy Aerobar: + 20 + bridge</v>
      </c>
      <c r="C15">
        <f>$D$4+'Data - IAx'!D17</f>
        <v>608</v>
      </c>
      <c r="D15">
        <f t="shared" si="0"/>
        <v>610</v>
      </c>
      <c r="E15" t="str">
        <f>'Data - IAx'!F17</f>
        <v>Stem Bolts: N/A -----</v>
      </c>
      <c r="F15" t="str">
        <f>'Data - IAx'!I17</f>
        <v xml:space="preserve">Aerobar Bolts: Top 25mm; Bottom 15mm </v>
      </c>
      <c r="G15" t="str">
        <f t="shared" si="1"/>
        <v xml:space="preserve">Stem Bolts: N/A ----- Aerobar Bolts: Top 25mm; Bottom 15mm </v>
      </c>
    </row>
    <row r="16" spans="2:10" x14ac:dyDescent="0.25">
      <c r="B16" t="str">
        <f>TEXT($B$3,0) &amp;" ----- "&amp;'Data - IAx'!B18</f>
        <v>Frame: 51 ----- Stem: Integrated ----- Alloy Aerobar: + 20 + bridge + 5</v>
      </c>
      <c r="C16">
        <f>$D$4+'Data - IAx'!D18</f>
        <v>613</v>
      </c>
      <c r="D16">
        <f t="shared" si="0"/>
        <v>615</v>
      </c>
      <c r="E16" t="str">
        <f>'Data - IAx'!F18</f>
        <v>Stem Bolts: N/A -----</v>
      </c>
      <c r="F16" t="str">
        <f>'Data - IAx'!I18</f>
        <v xml:space="preserve">Aerobar Bolts: Top 25mm; Bottom 15mm </v>
      </c>
      <c r="G16" t="str">
        <f t="shared" si="1"/>
        <v xml:space="preserve">Stem Bolts: N/A ----- Aerobar Bolts: Top 25mm; Bottom 15mm </v>
      </c>
    </row>
    <row r="17" spans="2:7" x14ac:dyDescent="0.25">
      <c r="B17" t="str">
        <f>TEXT($B$3,0) &amp;" ----- "&amp;'Data - IAx'!B19</f>
        <v>Frame: 51 ----- Stem: Integrated ----- Alloy Aerobar: + 30</v>
      </c>
      <c r="C17">
        <f>$D$4+'Data - IAx'!D19</f>
        <v>613</v>
      </c>
      <c r="D17">
        <f t="shared" si="0"/>
        <v>615</v>
      </c>
      <c r="E17" t="str">
        <f>'Data - IAx'!F19</f>
        <v>Stem Bolts: N/A -----</v>
      </c>
      <c r="F17" t="str">
        <f>'Data - IAx'!I19</f>
        <v xml:space="preserve">Aerobar Bolts: Top 25mm; Bottom 15mm </v>
      </c>
      <c r="G17" t="str">
        <f t="shared" si="1"/>
        <v xml:space="preserve">Stem Bolts: N/A ----- Aerobar Bolts: Top 25mm; Bottom 15mm </v>
      </c>
    </row>
    <row r="18" spans="2:7" x14ac:dyDescent="0.25">
      <c r="B18" t="str">
        <f>TEXT($B$3,0) &amp;" ----- "&amp;'Data - IAx'!B20</f>
        <v>Frame: 51 ----- Stem: Integrated ----- Alloy Aerobar: + 30 + bridge</v>
      </c>
      <c r="C18">
        <f>$D$4+'Data - IAx'!D20</f>
        <v>618</v>
      </c>
      <c r="D18">
        <f t="shared" si="0"/>
        <v>620</v>
      </c>
      <c r="E18" t="str">
        <f>'Data - IAx'!F20</f>
        <v>Stem Bolts: N/A -----</v>
      </c>
      <c r="F18" t="str">
        <f>'Data - IAx'!I20</f>
        <v xml:space="preserve">Aerobar Bolts: Top 30mm; Bottom 15mm </v>
      </c>
      <c r="G18" t="str">
        <f t="shared" si="1"/>
        <v xml:space="preserve">Stem Bolts: N/A ----- Aerobar Bolts: Top 30mm; Bottom 15mm </v>
      </c>
    </row>
    <row r="19" spans="2:7" x14ac:dyDescent="0.25">
      <c r="B19" t="str">
        <f>TEXT($B$3,0) &amp;" ----- "&amp;'Data - IAx'!B21</f>
        <v>Frame: 51 ----- Stem: Integrated ----- Alloy Aerobar: + 30 + bridge + 5</v>
      </c>
      <c r="C19">
        <f>$D$4+'Data - IAx'!D21</f>
        <v>623</v>
      </c>
      <c r="D19">
        <f t="shared" si="0"/>
        <v>625</v>
      </c>
      <c r="E19" t="str">
        <f>'Data - IAx'!F21</f>
        <v>Stem Bolts: N/A -----</v>
      </c>
      <c r="F19" t="str">
        <f>'Data - IAx'!I21</f>
        <v xml:space="preserve">Aerobar Bolts: Top 30mm; Bottom 15mm </v>
      </c>
      <c r="G19" t="str">
        <f t="shared" si="1"/>
        <v xml:space="preserve">Stem Bolts: N/A ----- Aerobar Bolts: Top 30mm; Bottom 15mm </v>
      </c>
    </row>
    <row r="20" spans="2:7" x14ac:dyDescent="0.25">
      <c r="B20" t="str">
        <f>TEXT($B$3,0) &amp;" ----- "&amp;'Data - IAx'!B22</f>
        <v>Frame: 51 ----- Stem: Integrated ----- Alloy Aerobar: + 40 + bridge</v>
      </c>
      <c r="C20">
        <f>$D$4+'Data - IAx'!D22</f>
        <v>628</v>
      </c>
      <c r="D20">
        <f t="shared" si="0"/>
        <v>630</v>
      </c>
      <c r="E20" t="str">
        <f>'Data - IAx'!F22</f>
        <v>Stem Bolts: N/A -----</v>
      </c>
      <c r="F20" t="str">
        <f>'Data - IAx'!I22</f>
        <v xml:space="preserve">Aerobar Bolts: Top 35mm; Bottom 15mm </v>
      </c>
      <c r="G20" t="str">
        <f t="shared" si="1"/>
        <v xml:space="preserve">Stem Bolts: N/A ----- Aerobar Bolts: Top 35mm; Bottom 15mm </v>
      </c>
    </row>
    <row r="21" spans="2:7" x14ac:dyDescent="0.25">
      <c r="B21" t="str">
        <f>TEXT($B$3,0) &amp;" ----- "&amp;'Data - IAx'!B23</f>
        <v>Frame: 51 ----- Stem: Integrated ----- Alloy Aerobar: + 40 + bridge + 5</v>
      </c>
      <c r="C21">
        <f>$D$4+'Data - IAx'!D23</f>
        <v>633</v>
      </c>
      <c r="D21">
        <f t="shared" si="0"/>
        <v>635</v>
      </c>
      <c r="E21" t="str">
        <f>'Data - IAx'!F23</f>
        <v>Stem Bolts: N/A -----</v>
      </c>
      <c r="F21" t="str">
        <f>'Data - IAx'!I23</f>
        <v xml:space="preserve">Aerobar Bolts: Top 35mm; Bottom 15mm </v>
      </c>
      <c r="G21" t="str">
        <f t="shared" si="1"/>
        <v xml:space="preserve">Stem Bolts: N/A ----- Aerobar Bolts: Top 35mm; Bottom 15mm </v>
      </c>
    </row>
    <row r="22" spans="2:7" x14ac:dyDescent="0.25">
      <c r="B22" t="str">
        <f>TEXT($B$3,0) &amp;" ----- "&amp;'Data - IAx'!B24</f>
        <v>Frame: 51 ----- Stem: Integrated ----- Alloy Aerobar: + 40 + bridge + 10</v>
      </c>
      <c r="C22">
        <f>$D$4+'Data - IAx'!D24</f>
        <v>638</v>
      </c>
      <c r="D22">
        <f t="shared" si="0"/>
        <v>640</v>
      </c>
      <c r="E22" t="str">
        <f>'Data - IAx'!F24</f>
        <v>Stem Bolts: N/A -----</v>
      </c>
      <c r="F22" t="str">
        <f>'Data - IAx'!I24</f>
        <v xml:space="preserve">Aerobar Bolts: Top 35mm; Bottom 15mm </v>
      </c>
      <c r="G22" t="str">
        <f t="shared" si="1"/>
        <v xml:space="preserve">Stem Bolts: N/A ----- Aerobar Bolts: Top 35mm; Bottom 15mm </v>
      </c>
    </row>
    <row r="23" spans="2:7" x14ac:dyDescent="0.25">
      <c r="B23" t="str">
        <f>TEXT($B$3,0) &amp;" ----- "&amp;'Data - IAx'!B25</f>
        <v>Frame: 51 ----- Stem: Integrated ----- Alloy Aerobar: + 40 + bridge + 5 + 10</v>
      </c>
      <c r="C23">
        <f>$D$4+'Data - IAx'!D25</f>
        <v>643</v>
      </c>
      <c r="D23">
        <f t="shared" si="0"/>
        <v>645</v>
      </c>
      <c r="E23" t="str">
        <f>'Data - IAx'!F25</f>
        <v>Stem Bolts: N/A -----</v>
      </c>
      <c r="F23" t="str">
        <f>'Data - IAx'!I25</f>
        <v xml:space="preserve">Aerobar Bolts: Top 35mm; Bottom 25mm </v>
      </c>
      <c r="G23" t="str">
        <f t="shared" si="1"/>
        <v xml:space="preserve">Stem Bolts: N/A ----- Aerobar Bolts: Top 35mm; Bottom 25mm </v>
      </c>
    </row>
    <row r="24" spans="2:7" x14ac:dyDescent="0.25">
      <c r="B24" t="str">
        <f>TEXT($B$3,0) &amp;" ----- "&amp;'Data - IAx'!B26</f>
        <v xml:space="preserve">Frame: 51 ----- Stem: Integrated ----- Carbon Aerobar (optional): </v>
      </c>
      <c r="C24">
        <v>0</v>
      </c>
      <c r="D24">
        <f t="shared" ref="D24:D38" si="2">ROUND(C24/5,0)*5</f>
        <v>0</v>
      </c>
      <c r="E24" t="str">
        <f>'Data - IAx'!F26</f>
        <v>Stem Bolts: N/A -----</v>
      </c>
      <c r="F24" t="str">
        <f>'Data - IAx'!I26</f>
        <v xml:space="preserve">Aerobar Bolts: Top N/A; Bottom N/A </v>
      </c>
      <c r="G24" t="str">
        <f t="shared" ref="G24:G38" si="3">E24&amp;" "&amp;F24</f>
        <v xml:space="preserve">Stem Bolts: N/A ----- Aerobar Bolts: Top N/A; Bottom N/A </v>
      </c>
    </row>
    <row r="25" spans="2:7" x14ac:dyDescent="0.25">
      <c r="B25" t="str">
        <f>TEXT($B$3,0) &amp;" ----- "&amp;'Data - IAx'!B27</f>
        <v>Frame: 51 ----- Stem: Integrated ----- Carbon Aerobar (optional): + 5</v>
      </c>
      <c r="C25">
        <f>$D$4+'Data - IAx'!D27</f>
        <v>576</v>
      </c>
      <c r="D25">
        <f t="shared" si="2"/>
        <v>575</v>
      </c>
      <c r="E25" t="str">
        <f>'Data - IAx'!F27</f>
        <v>Stem Bolts: N/A -----</v>
      </c>
      <c r="F25" t="str">
        <f>'Data - IAx'!I27</f>
        <v xml:space="preserve">Aerobar Bolts: Top 45mm; Bottom N/A </v>
      </c>
      <c r="G25" t="str">
        <f t="shared" si="3"/>
        <v xml:space="preserve">Stem Bolts: N/A ----- Aerobar Bolts: Top 45mm; Bottom N/A </v>
      </c>
    </row>
    <row r="26" spans="2:7" x14ac:dyDescent="0.25">
      <c r="B26" t="str">
        <f>TEXT($B$3,0) &amp;" ----- "&amp;'Data - IAx'!B28</f>
        <v>Frame: 51 ----- Stem: Integrated ----- Carbon Aerobar (optional): + 10</v>
      </c>
      <c r="C26">
        <f>$D$4+'Data - IAx'!D28</f>
        <v>581</v>
      </c>
      <c r="D26">
        <f t="shared" si="2"/>
        <v>580</v>
      </c>
      <c r="E26" t="str">
        <f>'Data - IAx'!F28</f>
        <v>Stem Bolts: N/A -----</v>
      </c>
      <c r="F26" t="str">
        <f>'Data - IAx'!I28</f>
        <v xml:space="preserve">Aerobar Bolts: Top 50mm; Bottom N/A </v>
      </c>
      <c r="G26" t="str">
        <f t="shared" si="3"/>
        <v xml:space="preserve">Stem Bolts: N/A ----- Aerobar Bolts: Top 50mm; Bottom N/A </v>
      </c>
    </row>
    <row r="27" spans="2:7" x14ac:dyDescent="0.25">
      <c r="B27" t="str">
        <f>TEXT($B$3,0) &amp;" ----- "&amp;'Data - IAx'!B29</f>
        <v>Frame: 51 ----- Stem: Integrated ----- Carbon Aerobar (optional): + 5 + 10</v>
      </c>
      <c r="C27">
        <f>$D$4+'Data - IAx'!D29</f>
        <v>586</v>
      </c>
      <c r="D27">
        <f t="shared" si="2"/>
        <v>585</v>
      </c>
      <c r="E27" t="str">
        <f>'Data - IAx'!F29</f>
        <v>Stem Bolts: N/A -----</v>
      </c>
      <c r="F27" t="str">
        <f>'Data - IAx'!I29</f>
        <v xml:space="preserve">Aerobar Bolts: Top 55mm; Bottom N/A </v>
      </c>
      <c r="G27" t="str">
        <f t="shared" si="3"/>
        <v xml:space="preserve">Stem Bolts: N/A ----- Aerobar Bolts: Top 55mm; Bottom N/A </v>
      </c>
    </row>
    <row r="28" spans="2:7" x14ac:dyDescent="0.25">
      <c r="B28" t="str">
        <f>TEXT($B$3,0) &amp;" ----- "&amp;'Data - IAx'!B30</f>
        <v>Frame: 51 ----- Stem: Integrated ----- Carbon Aerobar (optional): + 20</v>
      </c>
      <c r="C28">
        <f>$D$4+'Data - IAx'!D30</f>
        <v>591</v>
      </c>
      <c r="D28">
        <f t="shared" si="2"/>
        <v>590</v>
      </c>
      <c r="E28" t="str">
        <f>'Data - IAx'!F30</f>
        <v>Stem Bolts: N/A -----</v>
      </c>
      <c r="F28" t="str">
        <f>'Data - IAx'!I30</f>
        <v xml:space="preserve">Aerobar Bolts: Top 20mm; Bottom 30mm </v>
      </c>
      <c r="G28" t="str">
        <f t="shared" si="3"/>
        <v xml:space="preserve">Stem Bolts: N/A ----- Aerobar Bolts: Top 20mm; Bottom 30mm </v>
      </c>
    </row>
    <row r="29" spans="2:7" x14ac:dyDescent="0.25">
      <c r="B29" t="str">
        <f>TEXT($B$3,0) &amp;" ----- "&amp;'Data - IAx'!B31</f>
        <v xml:space="preserve">Frame: 51 ----- Stem: Integrated ----- Carbon Aerobar (optional): + 20 + 5 </v>
      </c>
      <c r="C29">
        <f>$D$4+'Data - IAx'!D31</f>
        <v>596</v>
      </c>
      <c r="D29">
        <f t="shared" si="2"/>
        <v>595</v>
      </c>
      <c r="E29" t="str">
        <f>'Data - IAx'!F31</f>
        <v>Stem Bolts: N/A -----</v>
      </c>
      <c r="F29" t="str">
        <f>'Data - IAx'!I31</f>
        <v xml:space="preserve">Aerobar Bolts: Top 25mm; Bottom 30mm </v>
      </c>
      <c r="G29" t="str">
        <f t="shared" si="3"/>
        <v xml:space="preserve">Stem Bolts: N/A ----- Aerobar Bolts: Top 25mm; Bottom 30mm </v>
      </c>
    </row>
    <row r="30" spans="2:7" x14ac:dyDescent="0.25">
      <c r="B30" t="str">
        <f>TEXT($B$3,0) &amp;" ----- "&amp;'Data - IAx'!B32</f>
        <v>Frame: 51 ----- Stem: Integrated ----- Carbon Aerobar (optional): + 20 + bridge</v>
      </c>
      <c r="C30">
        <f>$D$4+'Data - IAx'!D32</f>
        <v>596</v>
      </c>
      <c r="D30">
        <f t="shared" si="2"/>
        <v>595</v>
      </c>
      <c r="E30" t="str">
        <f>'Data - IAx'!F32</f>
        <v>Stem Bolts: N/A -----</v>
      </c>
      <c r="F30" t="str">
        <f>'Data - IAx'!I32</f>
        <v xml:space="preserve">Aerobar Bolts: Top 25mm; Bottom 30mm </v>
      </c>
      <c r="G30" t="str">
        <f t="shared" si="3"/>
        <v xml:space="preserve">Stem Bolts: N/A ----- Aerobar Bolts: Top 25mm; Bottom 30mm </v>
      </c>
    </row>
    <row r="31" spans="2:7" x14ac:dyDescent="0.25">
      <c r="B31" t="str">
        <f>TEXT($B$3,0) &amp;" ----- "&amp;'Data - IAx'!B33</f>
        <v>Frame: 51 ----- Stem: Integrated ----- Carbon Aerobar (optional): + 20 + bridge + 5</v>
      </c>
      <c r="C31">
        <f>$D$4+'Data - IAx'!D33</f>
        <v>601</v>
      </c>
      <c r="D31">
        <f t="shared" si="2"/>
        <v>600</v>
      </c>
      <c r="E31" t="str">
        <f>'Data - IAx'!F33</f>
        <v>Stem Bolts: N/A -----</v>
      </c>
      <c r="F31" t="str">
        <f>'Data - IAx'!I33</f>
        <v xml:space="preserve">Aerobar Bolts: Top 25mm; Bottom 30mm </v>
      </c>
      <c r="G31" t="str">
        <f t="shared" si="3"/>
        <v xml:space="preserve">Stem Bolts: N/A ----- Aerobar Bolts: Top 25mm; Bottom 30mm </v>
      </c>
    </row>
    <row r="32" spans="2:7" x14ac:dyDescent="0.25">
      <c r="B32" t="str">
        <f>TEXT($B$3,0) &amp;" ----- "&amp;'Data - IAx'!B34</f>
        <v>Frame: 51 ----- Stem: Integrated ----- Carbon Aerobar (optional): + 30</v>
      </c>
      <c r="C32">
        <f>$D$4+'Data - IAx'!D34</f>
        <v>601</v>
      </c>
      <c r="D32">
        <f t="shared" si="2"/>
        <v>600</v>
      </c>
      <c r="E32" t="str">
        <f>'Data - IAx'!F34</f>
        <v>Stem Bolts: N/A -----</v>
      </c>
      <c r="F32" t="str">
        <f>'Data - IAx'!I34</f>
        <v xml:space="preserve">Aerobar Bolts: Top 30mm; Bottom 30mm </v>
      </c>
      <c r="G32" t="str">
        <f t="shared" si="3"/>
        <v xml:space="preserve">Stem Bolts: N/A ----- Aerobar Bolts: Top 30mm; Bottom 30mm </v>
      </c>
    </row>
    <row r="33" spans="2:7" x14ac:dyDescent="0.25">
      <c r="B33" t="str">
        <f>TEXT($B$3,0) &amp;" ----- "&amp;'Data - IAx'!B35</f>
        <v>Frame: 51 ----- Stem: Integrated ----- Carbon Aerobar (optional): + 30 + bridge</v>
      </c>
      <c r="C33">
        <f>$D$4+'Data - IAx'!D35</f>
        <v>606</v>
      </c>
      <c r="D33">
        <f t="shared" si="2"/>
        <v>605</v>
      </c>
      <c r="E33" t="str">
        <f>'Data - IAx'!F35</f>
        <v>Stem Bolts: N/A -----</v>
      </c>
      <c r="F33" t="str">
        <f>'Data - IAx'!I35</f>
        <v xml:space="preserve">Aerobar Bolts: Top 30mm; Bottom 30mm </v>
      </c>
      <c r="G33" t="str">
        <f t="shared" si="3"/>
        <v xml:space="preserve">Stem Bolts: N/A ----- Aerobar Bolts: Top 30mm; Bottom 30mm </v>
      </c>
    </row>
    <row r="34" spans="2:7" x14ac:dyDescent="0.25">
      <c r="B34" t="str">
        <f>TEXT($B$3,0) &amp;" ----- "&amp;'Data - IAx'!B36</f>
        <v>Frame: 51 ----- Stem: Integrated ----- Carbon Aerobar (optional): + 30 + bridge + 5</v>
      </c>
      <c r="C34">
        <f>$D$4+'Data - IAx'!D36</f>
        <v>611</v>
      </c>
      <c r="D34">
        <f t="shared" si="2"/>
        <v>610</v>
      </c>
      <c r="E34" t="str">
        <f>'Data - IAx'!F36</f>
        <v>Stem Bolts: N/A -----</v>
      </c>
      <c r="F34" t="str">
        <f>'Data - IAx'!I36</f>
        <v xml:space="preserve">Aerobar Bolts: Top 35mm; Bottom 30mm </v>
      </c>
      <c r="G34" t="str">
        <f t="shared" si="3"/>
        <v xml:space="preserve">Stem Bolts: N/A ----- Aerobar Bolts: Top 35mm; Bottom 30mm </v>
      </c>
    </row>
    <row r="35" spans="2:7" x14ac:dyDescent="0.25">
      <c r="B35" t="str">
        <f>TEXT($B$3,0) &amp;" ----- "&amp;'Data - IAx'!B37</f>
        <v>Frame: 51 ----- Stem: Integrated ----- Carbon Aerobar (optional): + 40 + bridge</v>
      </c>
      <c r="C35">
        <f>$D$4+'Data - IAx'!D37</f>
        <v>616</v>
      </c>
      <c r="D35">
        <f t="shared" si="2"/>
        <v>615</v>
      </c>
      <c r="E35" t="str">
        <f>'Data - IAx'!F37</f>
        <v>Stem Bolts: N/A -----</v>
      </c>
      <c r="F35" t="str">
        <f>'Data - IAx'!I37</f>
        <v xml:space="preserve">Aerobar Bolts: Top 35mm; Bottom 30mm </v>
      </c>
      <c r="G35" t="str">
        <f t="shared" si="3"/>
        <v xml:space="preserve">Stem Bolts: N/A ----- Aerobar Bolts: Top 35mm; Bottom 30mm </v>
      </c>
    </row>
    <row r="36" spans="2:7" x14ac:dyDescent="0.25">
      <c r="B36" t="str">
        <f>TEXT($B$3,0) &amp;" ----- "&amp;'Data - IAx'!B38</f>
        <v>Frame: 51 ----- Stem: Integrated ----- Carbon Aerobar (optional): + 40 + bridge + 5</v>
      </c>
      <c r="C36">
        <f>$D$4+'Data - IAx'!D38</f>
        <v>621</v>
      </c>
      <c r="D36">
        <f t="shared" si="2"/>
        <v>620</v>
      </c>
      <c r="E36" t="str">
        <f>'Data - IAx'!F38</f>
        <v>Stem Bolts: N/A -----</v>
      </c>
      <c r="F36" t="str">
        <f>'Data - IAx'!I38</f>
        <v xml:space="preserve">Aerobar Bolts: Top 35mm; Bottom 30mm </v>
      </c>
      <c r="G36" t="str">
        <f t="shared" si="3"/>
        <v xml:space="preserve">Stem Bolts: N/A ----- Aerobar Bolts: Top 35mm; Bottom 30mm </v>
      </c>
    </row>
    <row r="37" spans="2:7" x14ac:dyDescent="0.25">
      <c r="B37" t="str">
        <f>TEXT($B$3,0) &amp;" ----- "&amp;'Data - IAx'!B39</f>
        <v>Frame: 51 ----- Stem: Integrated ----- Carbon Aerobar (optional): + 40 + bridge + 10</v>
      </c>
      <c r="C37">
        <f>$D$4+'Data - IAx'!D39</f>
        <v>626</v>
      </c>
      <c r="D37">
        <f t="shared" si="2"/>
        <v>625</v>
      </c>
      <c r="E37" t="str">
        <f>'Data - IAx'!F39</f>
        <v>Stem Bolts: N/A -----</v>
      </c>
      <c r="F37" t="str">
        <f>'Data - IAx'!I39</f>
        <v xml:space="preserve">Aerobar Bolts: Top 40mm; Bottom 30mm </v>
      </c>
      <c r="G37" t="str">
        <f t="shared" si="3"/>
        <v xml:space="preserve">Stem Bolts: N/A ----- Aerobar Bolts: Top 40mm; Bottom 30mm </v>
      </c>
    </row>
    <row r="38" spans="2:7" x14ac:dyDescent="0.25">
      <c r="B38" t="str">
        <f>TEXT($B$3,0) &amp;" ----- "&amp;'Data - IAx'!B40</f>
        <v>Frame: 51 ----- Stem: Integrated ----- Carbon Aerobar (optional): + 40 + bridge + 5 + 10</v>
      </c>
      <c r="C38">
        <f>$D$4+'Data - IAx'!D40</f>
        <v>631</v>
      </c>
      <c r="D38">
        <f t="shared" si="2"/>
        <v>630</v>
      </c>
      <c r="E38" t="str">
        <f>'Data - IAx'!F40</f>
        <v>Stem Bolts: N/A -----</v>
      </c>
      <c r="F38" t="str">
        <f>'Data - IAx'!I40</f>
        <v xml:space="preserve">Aerobar Bolts: Top 45mm; Bottom 30mm </v>
      </c>
      <c r="G38" t="str">
        <f t="shared" si="3"/>
        <v xml:space="preserve">Stem Bolts: N/A ----- Aerobar Bolts: Top 45mm; Bottom 30mm 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6" tint="-0.249977111117893"/>
  </sheetPr>
  <dimension ref="B2:J38"/>
  <sheetViews>
    <sheetView zoomScale="70" zoomScaleNormal="70" workbookViewId="0">
      <selection activeCell="C25" sqref="C25"/>
    </sheetView>
  </sheetViews>
  <sheetFormatPr defaultRowHeight="15" x14ac:dyDescent="0.25"/>
  <cols>
    <col min="2" max="2" width="68.140625" customWidth="1"/>
    <col min="5" max="5" width="21.42578125" customWidth="1"/>
    <col min="6" max="6" width="34" customWidth="1"/>
    <col min="8" max="8" width="20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99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f>'Data - IAx'!C6</f>
        <v>406</v>
      </c>
      <c r="D4">
        <f>'Data - IAx'!D6</f>
        <v>513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451</v>
      </c>
    </row>
    <row r="7" spans="2:10" x14ac:dyDescent="0.25">
      <c r="H7" t="s">
        <v>34</v>
      </c>
      <c r="I7">
        <f>C4+'Data - IA'!$C$57</f>
        <v>496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IAx'!B11</f>
        <v xml:space="preserve">Frame: 54 ----- Stem: Integrated ----- Alloy Aerobar: </v>
      </c>
      <c r="C9">
        <f>$D$4+'Data - IAx'!D11</f>
        <v>607</v>
      </c>
      <c r="D9">
        <f t="shared" ref="D9:D23" si="0">ROUND(C9/5,0)*5</f>
        <v>605</v>
      </c>
      <c r="E9" t="str">
        <f>'Data - IAx'!F11</f>
        <v>Stem Bolts: N/A -----</v>
      </c>
      <c r="F9" t="str">
        <f>'Data - IAx'!I11</f>
        <v xml:space="preserve">Aerobar Bolts: Top 20mm; Bottom N/A </v>
      </c>
      <c r="G9" t="str">
        <f t="shared" ref="G9:G23" si="1">E9&amp;" "&amp;F9</f>
        <v xml:space="preserve">Stem Bolts: N/A ----- Aerobar Bolts: Top 20mm; Bottom N/A </v>
      </c>
    </row>
    <row r="10" spans="2:10" x14ac:dyDescent="0.25">
      <c r="B10" t="str">
        <f>TEXT($B$3,0) &amp;" ----- "&amp;'Data - IAx'!B12</f>
        <v>Frame: 54 ----- Stem: Integrated ----- Alloy Aerobar: + 5</v>
      </c>
      <c r="C10">
        <f>$D$4+'Data - IAx'!D12</f>
        <v>612</v>
      </c>
      <c r="D10">
        <f t="shared" si="0"/>
        <v>610</v>
      </c>
      <c r="E10" t="str">
        <f>'Data - IAx'!F12</f>
        <v>Stem Bolts: N/A -----</v>
      </c>
      <c r="F10" t="str">
        <f>'Data - IAx'!I12</f>
        <v xml:space="preserve">Aerobar Bolts: Top 25mm; Bottom N/A </v>
      </c>
      <c r="G10" t="str">
        <f t="shared" si="1"/>
        <v xml:space="preserve">Stem Bolts: N/A ----- Aerobar Bolts: Top 25mm; Bottom N/A </v>
      </c>
    </row>
    <row r="11" spans="2:10" x14ac:dyDescent="0.25">
      <c r="B11" t="str">
        <f>TEXT($B$3,0) &amp;" ----- "&amp;'Data - IAx'!B13</f>
        <v>Frame: 54 ----- Stem: Integrated ----- Alloy Aerobar: + 10</v>
      </c>
      <c r="C11">
        <f>$D$4+'Data - IAx'!D13</f>
        <v>617</v>
      </c>
      <c r="D11">
        <f t="shared" si="0"/>
        <v>615</v>
      </c>
      <c r="E11" t="str">
        <f>'Data - IAx'!F13</f>
        <v>Stem Bolts: N/A -----</v>
      </c>
      <c r="F11" t="str">
        <f>'Data - IAx'!I13</f>
        <v xml:space="preserve">Aerobar Bolts: Top 30mm; Bottom N/A </v>
      </c>
      <c r="G11" t="str">
        <f t="shared" si="1"/>
        <v xml:space="preserve">Stem Bolts: N/A ----- Aerobar Bolts: Top 30mm; Bottom N/A </v>
      </c>
    </row>
    <row r="12" spans="2:10" x14ac:dyDescent="0.25">
      <c r="B12" t="str">
        <f>TEXT($B$3,0) &amp;" ----- "&amp;'Data - IAx'!B14</f>
        <v>Frame: 54 ----- Stem: Integrated ----- Alloy Aerobar: + 5 + 10</v>
      </c>
      <c r="C12">
        <f>$D$4+'Data - IAx'!D14</f>
        <v>622</v>
      </c>
      <c r="D12">
        <f t="shared" si="0"/>
        <v>620</v>
      </c>
      <c r="E12" t="str">
        <f>'Data - IAx'!F14</f>
        <v>Stem Bolts: N/A -----</v>
      </c>
      <c r="F12" t="str">
        <f>'Data - IAx'!I14</f>
        <v xml:space="preserve">Aerobar Bolts: Top 35mm; Bottom N/A </v>
      </c>
      <c r="G12" t="str">
        <f t="shared" si="1"/>
        <v xml:space="preserve">Stem Bolts: N/A ----- Aerobar Bolts: Top 35mm; Bottom N/A </v>
      </c>
    </row>
    <row r="13" spans="2:10" x14ac:dyDescent="0.25">
      <c r="B13" t="str">
        <f>TEXT($B$3,0) &amp;" ----- "&amp;'Data - IAx'!B15</f>
        <v>Frame: 54 ----- Stem: Integrated ----- Alloy Aerobar: + 20</v>
      </c>
      <c r="C13">
        <f>$D$4+'Data - IAx'!D15</f>
        <v>627</v>
      </c>
      <c r="D13">
        <f t="shared" si="0"/>
        <v>625</v>
      </c>
      <c r="E13" t="str">
        <f>'Data - IAx'!F15</f>
        <v>Stem Bolts: N/A -----</v>
      </c>
      <c r="F13" t="str">
        <f>'Data - IAx'!I15</f>
        <v xml:space="preserve">Aerobar Bolts: Top 20mm; Bottom 15mm </v>
      </c>
      <c r="G13" t="str">
        <f t="shared" si="1"/>
        <v xml:space="preserve">Stem Bolts: N/A ----- Aerobar Bolts: Top 20mm; Bottom 15mm </v>
      </c>
    </row>
    <row r="14" spans="2:10" x14ac:dyDescent="0.25">
      <c r="B14" t="str">
        <f>TEXT($B$3,0) &amp;" ----- "&amp;'Data - IAx'!B16</f>
        <v xml:space="preserve">Frame: 54 ----- Stem: Integrated ----- Alloy Aerobar: + 20 + 5 </v>
      </c>
      <c r="C14">
        <f>$D$4+'Data - IAx'!D16</f>
        <v>632</v>
      </c>
      <c r="D14">
        <f t="shared" si="0"/>
        <v>630</v>
      </c>
      <c r="E14" t="str">
        <f>'Data - IAx'!F16</f>
        <v>Stem Bolts: N/A -----</v>
      </c>
      <c r="F14" t="str">
        <f>'Data - IAx'!I16</f>
        <v xml:space="preserve">Aerobar Bolts: Top 25mm; Bottom 15mm </v>
      </c>
      <c r="G14" t="str">
        <f t="shared" si="1"/>
        <v xml:space="preserve">Stem Bolts: N/A ----- Aerobar Bolts: Top 25mm; Bottom 15mm </v>
      </c>
    </row>
    <row r="15" spans="2:10" x14ac:dyDescent="0.25">
      <c r="B15" t="str">
        <f>TEXT($B$3,0) &amp;" ----- "&amp;'Data - IAx'!B17</f>
        <v>Frame: 54 ----- Stem: Integrated ----- Alloy Aerobar: + 20 + bridge</v>
      </c>
      <c r="C15">
        <f>$D$4+'Data - IAx'!D17</f>
        <v>632</v>
      </c>
      <c r="D15">
        <f t="shared" si="0"/>
        <v>630</v>
      </c>
      <c r="E15" t="str">
        <f>'Data - IAx'!F17</f>
        <v>Stem Bolts: N/A -----</v>
      </c>
      <c r="F15" t="str">
        <f>'Data - IAx'!I17</f>
        <v xml:space="preserve">Aerobar Bolts: Top 25mm; Bottom 15mm </v>
      </c>
      <c r="G15" t="str">
        <f t="shared" si="1"/>
        <v xml:space="preserve">Stem Bolts: N/A ----- Aerobar Bolts: Top 25mm; Bottom 15mm </v>
      </c>
    </row>
    <row r="16" spans="2:10" x14ac:dyDescent="0.25">
      <c r="B16" t="str">
        <f>TEXT($B$3,0) &amp;" ----- "&amp;'Data - IAx'!B18</f>
        <v>Frame: 54 ----- Stem: Integrated ----- Alloy Aerobar: + 20 + bridge + 5</v>
      </c>
      <c r="C16">
        <f>$D$4+'Data - IAx'!D18</f>
        <v>637</v>
      </c>
      <c r="D16">
        <f t="shared" si="0"/>
        <v>635</v>
      </c>
      <c r="E16" t="str">
        <f>'Data - IAx'!F18</f>
        <v>Stem Bolts: N/A -----</v>
      </c>
      <c r="F16" t="str">
        <f>'Data - IAx'!I18</f>
        <v xml:space="preserve">Aerobar Bolts: Top 25mm; Bottom 15mm </v>
      </c>
      <c r="G16" t="str">
        <f t="shared" si="1"/>
        <v xml:space="preserve">Stem Bolts: N/A ----- Aerobar Bolts: Top 25mm; Bottom 15mm </v>
      </c>
    </row>
    <row r="17" spans="2:7" x14ac:dyDescent="0.25">
      <c r="B17" t="str">
        <f>TEXT($B$3,0) &amp;" ----- "&amp;'Data - IAx'!B19</f>
        <v>Frame: 54 ----- Stem: Integrated ----- Alloy Aerobar: + 30</v>
      </c>
      <c r="C17">
        <f>$D$4+'Data - IAx'!D19</f>
        <v>637</v>
      </c>
      <c r="D17">
        <f t="shared" si="0"/>
        <v>635</v>
      </c>
      <c r="E17" t="str">
        <f>'Data - IAx'!F19</f>
        <v>Stem Bolts: N/A -----</v>
      </c>
      <c r="F17" t="str">
        <f>'Data - IAx'!I19</f>
        <v xml:space="preserve">Aerobar Bolts: Top 25mm; Bottom 15mm </v>
      </c>
      <c r="G17" t="str">
        <f t="shared" si="1"/>
        <v xml:space="preserve">Stem Bolts: N/A ----- Aerobar Bolts: Top 25mm; Bottom 15mm </v>
      </c>
    </row>
    <row r="18" spans="2:7" x14ac:dyDescent="0.25">
      <c r="B18" t="str">
        <f>TEXT($B$3,0) &amp;" ----- "&amp;'Data - IAx'!B20</f>
        <v>Frame: 54 ----- Stem: Integrated ----- Alloy Aerobar: + 30 + bridge</v>
      </c>
      <c r="C18">
        <f>$D$4+'Data - IAx'!D20</f>
        <v>642</v>
      </c>
      <c r="D18">
        <f t="shared" si="0"/>
        <v>640</v>
      </c>
      <c r="E18" t="str">
        <f>'Data - IAx'!F20</f>
        <v>Stem Bolts: N/A -----</v>
      </c>
      <c r="F18" t="str">
        <f>'Data - IAx'!I20</f>
        <v xml:space="preserve">Aerobar Bolts: Top 30mm; Bottom 15mm </v>
      </c>
      <c r="G18" t="str">
        <f t="shared" si="1"/>
        <v xml:space="preserve">Stem Bolts: N/A ----- Aerobar Bolts: Top 30mm; Bottom 15mm </v>
      </c>
    </row>
    <row r="19" spans="2:7" x14ac:dyDescent="0.25">
      <c r="B19" t="str">
        <f>TEXT($B$3,0) &amp;" ----- "&amp;'Data - IAx'!B21</f>
        <v>Frame: 54 ----- Stem: Integrated ----- Alloy Aerobar: + 30 + bridge + 5</v>
      </c>
      <c r="C19">
        <f>$D$4+'Data - IAx'!D21</f>
        <v>647</v>
      </c>
      <c r="D19">
        <f t="shared" si="0"/>
        <v>645</v>
      </c>
      <c r="E19" t="str">
        <f>'Data - IAx'!F21</f>
        <v>Stem Bolts: N/A -----</v>
      </c>
      <c r="F19" t="str">
        <f>'Data - IAx'!I21</f>
        <v xml:space="preserve">Aerobar Bolts: Top 30mm; Bottom 15mm </v>
      </c>
      <c r="G19" t="str">
        <f t="shared" si="1"/>
        <v xml:space="preserve">Stem Bolts: N/A ----- Aerobar Bolts: Top 30mm; Bottom 15mm </v>
      </c>
    </row>
    <row r="20" spans="2:7" x14ac:dyDescent="0.25">
      <c r="B20" t="str">
        <f>TEXT($B$3,0) &amp;" ----- "&amp;'Data - IAx'!B22</f>
        <v>Frame: 54 ----- Stem: Integrated ----- Alloy Aerobar: + 40 + bridge</v>
      </c>
      <c r="C20">
        <f>$D$4+'Data - IAx'!D22</f>
        <v>652</v>
      </c>
      <c r="D20">
        <f t="shared" si="0"/>
        <v>650</v>
      </c>
      <c r="E20" t="str">
        <f>'Data - IAx'!F22</f>
        <v>Stem Bolts: N/A -----</v>
      </c>
      <c r="F20" t="str">
        <f>'Data - IAx'!I22</f>
        <v xml:space="preserve">Aerobar Bolts: Top 35mm; Bottom 15mm </v>
      </c>
      <c r="G20" t="str">
        <f t="shared" si="1"/>
        <v xml:space="preserve">Stem Bolts: N/A ----- Aerobar Bolts: Top 35mm; Bottom 15mm </v>
      </c>
    </row>
    <row r="21" spans="2:7" x14ac:dyDescent="0.25">
      <c r="B21" t="str">
        <f>TEXT($B$3,0) &amp;" ----- "&amp;'Data - IAx'!B23</f>
        <v>Frame: 54 ----- Stem: Integrated ----- Alloy Aerobar: + 40 + bridge + 5</v>
      </c>
      <c r="C21">
        <f>$D$4+'Data - IAx'!D23</f>
        <v>657</v>
      </c>
      <c r="D21">
        <f t="shared" si="0"/>
        <v>655</v>
      </c>
      <c r="E21" t="str">
        <f>'Data - IAx'!F23</f>
        <v>Stem Bolts: N/A -----</v>
      </c>
      <c r="F21" t="str">
        <f>'Data - IAx'!I23</f>
        <v xml:space="preserve">Aerobar Bolts: Top 35mm; Bottom 15mm </v>
      </c>
      <c r="G21" t="str">
        <f t="shared" si="1"/>
        <v xml:space="preserve">Stem Bolts: N/A ----- Aerobar Bolts: Top 35mm; Bottom 15mm </v>
      </c>
    </row>
    <row r="22" spans="2:7" x14ac:dyDescent="0.25">
      <c r="B22" t="str">
        <f>TEXT($B$3,0) &amp;" ----- "&amp;'Data - IAx'!B24</f>
        <v>Frame: 54 ----- Stem: Integrated ----- Alloy Aerobar: + 40 + bridge + 10</v>
      </c>
      <c r="C22">
        <f>$D$4+'Data - IAx'!D24</f>
        <v>662</v>
      </c>
      <c r="D22">
        <f t="shared" si="0"/>
        <v>660</v>
      </c>
      <c r="E22" t="str">
        <f>'Data - IAx'!F24</f>
        <v>Stem Bolts: N/A -----</v>
      </c>
      <c r="F22" t="str">
        <f>'Data - IAx'!I24</f>
        <v xml:space="preserve">Aerobar Bolts: Top 35mm; Bottom 15mm </v>
      </c>
      <c r="G22" t="str">
        <f t="shared" si="1"/>
        <v xml:space="preserve">Stem Bolts: N/A ----- Aerobar Bolts: Top 35mm; Bottom 15mm </v>
      </c>
    </row>
    <row r="23" spans="2:7" x14ac:dyDescent="0.25">
      <c r="B23" t="str">
        <f>TEXT($B$3,0) &amp;" ----- "&amp;'Data - IAx'!B25</f>
        <v>Frame: 54 ----- Stem: Integrated ----- Alloy Aerobar: + 40 + bridge + 5 + 10</v>
      </c>
      <c r="C23">
        <f>$D$4+'Data - IAx'!D25</f>
        <v>667</v>
      </c>
      <c r="D23">
        <f t="shared" si="0"/>
        <v>665</v>
      </c>
      <c r="E23" t="str">
        <f>'Data - IAx'!F25</f>
        <v>Stem Bolts: N/A -----</v>
      </c>
      <c r="F23" t="str">
        <f>'Data - IAx'!I25</f>
        <v xml:space="preserve">Aerobar Bolts: Top 35mm; Bottom 25mm </v>
      </c>
      <c r="G23" t="str">
        <f t="shared" si="1"/>
        <v xml:space="preserve">Stem Bolts: N/A ----- Aerobar Bolts: Top 35mm; Bottom 25mm </v>
      </c>
    </row>
    <row r="24" spans="2:7" x14ac:dyDescent="0.25">
      <c r="B24" t="str">
        <f>TEXT($B$3,0) &amp;" ----- "&amp;'Data - IAx'!B26</f>
        <v xml:space="preserve">Frame: 54 ----- Stem: Integrated ----- Carbon Aerobar (optional): </v>
      </c>
      <c r="C24">
        <v>0</v>
      </c>
      <c r="D24">
        <f t="shared" ref="D24:D38" si="2">ROUND(C24/5,0)*5</f>
        <v>0</v>
      </c>
      <c r="E24" t="str">
        <f>'Data - IAx'!F26</f>
        <v>Stem Bolts: N/A -----</v>
      </c>
      <c r="F24" t="str">
        <f>'Data - IAx'!I26</f>
        <v xml:space="preserve">Aerobar Bolts: Top N/A; Bottom N/A </v>
      </c>
      <c r="G24" t="str">
        <f t="shared" ref="G24:G38" si="3">E24&amp;" "&amp;F24</f>
        <v xml:space="preserve">Stem Bolts: N/A ----- Aerobar Bolts: Top N/A; Bottom N/A </v>
      </c>
    </row>
    <row r="25" spans="2:7" x14ac:dyDescent="0.25">
      <c r="B25" t="str">
        <f>TEXT($B$3,0) &amp;" ----- "&amp;'Data - IAx'!B27</f>
        <v>Frame: 54 ----- Stem: Integrated ----- Carbon Aerobar (optional): + 5</v>
      </c>
      <c r="C25">
        <f>$D$4+'Data - IAx'!D27</f>
        <v>600</v>
      </c>
      <c r="D25">
        <f t="shared" si="2"/>
        <v>600</v>
      </c>
      <c r="E25" t="str">
        <f>'Data - IAx'!F27</f>
        <v>Stem Bolts: N/A -----</v>
      </c>
      <c r="F25" t="str">
        <f>'Data - IAx'!I27</f>
        <v xml:space="preserve">Aerobar Bolts: Top 45mm; Bottom N/A </v>
      </c>
      <c r="G25" t="str">
        <f t="shared" si="3"/>
        <v xml:space="preserve">Stem Bolts: N/A ----- Aerobar Bolts: Top 45mm; Bottom N/A </v>
      </c>
    </row>
    <row r="26" spans="2:7" x14ac:dyDescent="0.25">
      <c r="B26" t="str">
        <f>TEXT($B$3,0) &amp;" ----- "&amp;'Data - IAx'!B28</f>
        <v>Frame: 54 ----- Stem: Integrated ----- Carbon Aerobar (optional): + 10</v>
      </c>
      <c r="C26">
        <f>$D$4+'Data - IAx'!D28</f>
        <v>605</v>
      </c>
      <c r="D26">
        <f t="shared" si="2"/>
        <v>605</v>
      </c>
      <c r="E26" t="str">
        <f>'Data - IAx'!F28</f>
        <v>Stem Bolts: N/A -----</v>
      </c>
      <c r="F26" t="str">
        <f>'Data - IAx'!I28</f>
        <v xml:space="preserve">Aerobar Bolts: Top 50mm; Bottom N/A </v>
      </c>
      <c r="G26" t="str">
        <f t="shared" si="3"/>
        <v xml:space="preserve">Stem Bolts: N/A ----- Aerobar Bolts: Top 50mm; Bottom N/A </v>
      </c>
    </row>
    <row r="27" spans="2:7" x14ac:dyDescent="0.25">
      <c r="B27" t="str">
        <f>TEXT($B$3,0) &amp;" ----- "&amp;'Data - IAx'!B29</f>
        <v>Frame: 54 ----- Stem: Integrated ----- Carbon Aerobar (optional): + 5 + 10</v>
      </c>
      <c r="C27">
        <f>$D$4+'Data - IAx'!D29</f>
        <v>610</v>
      </c>
      <c r="D27">
        <f t="shared" si="2"/>
        <v>610</v>
      </c>
      <c r="E27" t="str">
        <f>'Data - IAx'!F29</f>
        <v>Stem Bolts: N/A -----</v>
      </c>
      <c r="F27" t="str">
        <f>'Data - IAx'!I29</f>
        <v xml:space="preserve">Aerobar Bolts: Top 55mm; Bottom N/A </v>
      </c>
      <c r="G27" t="str">
        <f t="shared" si="3"/>
        <v xml:space="preserve">Stem Bolts: N/A ----- Aerobar Bolts: Top 55mm; Bottom N/A </v>
      </c>
    </row>
    <row r="28" spans="2:7" x14ac:dyDescent="0.25">
      <c r="B28" t="str">
        <f>TEXT($B$3,0) &amp;" ----- "&amp;'Data - IAx'!B30</f>
        <v>Frame: 54 ----- Stem: Integrated ----- Carbon Aerobar (optional): + 20</v>
      </c>
      <c r="C28">
        <f>$D$4+'Data - IAx'!D30</f>
        <v>615</v>
      </c>
      <c r="D28">
        <f t="shared" si="2"/>
        <v>615</v>
      </c>
      <c r="E28" t="str">
        <f>'Data - IAx'!F30</f>
        <v>Stem Bolts: N/A -----</v>
      </c>
      <c r="F28" t="str">
        <f>'Data - IAx'!I30</f>
        <v xml:space="preserve">Aerobar Bolts: Top 20mm; Bottom 30mm </v>
      </c>
      <c r="G28" t="str">
        <f t="shared" si="3"/>
        <v xml:space="preserve">Stem Bolts: N/A ----- Aerobar Bolts: Top 20mm; Bottom 30mm </v>
      </c>
    </row>
    <row r="29" spans="2:7" x14ac:dyDescent="0.25">
      <c r="B29" t="str">
        <f>TEXT($B$3,0) &amp;" ----- "&amp;'Data - IAx'!B31</f>
        <v xml:space="preserve">Frame: 54 ----- Stem: Integrated ----- Carbon Aerobar (optional): + 20 + 5 </v>
      </c>
      <c r="C29">
        <f>$D$4+'Data - IAx'!D31</f>
        <v>620</v>
      </c>
      <c r="D29">
        <f t="shared" si="2"/>
        <v>620</v>
      </c>
      <c r="E29" t="str">
        <f>'Data - IAx'!F31</f>
        <v>Stem Bolts: N/A -----</v>
      </c>
      <c r="F29" t="str">
        <f>'Data - IAx'!I31</f>
        <v xml:space="preserve">Aerobar Bolts: Top 25mm; Bottom 30mm </v>
      </c>
      <c r="G29" t="str">
        <f t="shared" si="3"/>
        <v xml:space="preserve">Stem Bolts: N/A ----- Aerobar Bolts: Top 25mm; Bottom 30mm </v>
      </c>
    </row>
    <row r="30" spans="2:7" x14ac:dyDescent="0.25">
      <c r="B30" t="str">
        <f>TEXT($B$3,0) &amp;" ----- "&amp;'Data - IAx'!B32</f>
        <v>Frame: 54 ----- Stem: Integrated ----- Carbon Aerobar (optional): + 20 + bridge</v>
      </c>
      <c r="C30">
        <f>$D$4+'Data - IAx'!D32</f>
        <v>620</v>
      </c>
      <c r="D30">
        <f t="shared" si="2"/>
        <v>620</v>
      </c>
      <c r="E30" t="str">
        <f>'Data - IAx'!F32</f>
        <v>Stem Bolts: N/A -----</v>
      </c>
      <c r="F30" t="str">
        <f>'Data - IAx'!I32</f>
        <v xml:space="preserve">Aerobar Bolts: Top 25mm; Bottom 30mm </v>
      </c>
      <c r="G30" t="str">
        <f t="shared" si="3"/>
        <v xml:space="preserve">Stem Bolts: N/A ----- Aerobar Bolts: Top 25mm; Bottom 30mm </v>
      </c>
    </row>
    <row r="31" spans="2:7" x14ac:dyDescent="0.25">
      <c r="B31" t="str">
        <f>TEXT($B$3,0) &amp;" ----- "&amp;'Data - IAx'!B33</f>
        <v>Frame: 54 ----- Stem: Integrated ----- Carbon Aerobar (optional): + 20 + bridge + 5</v>
      </c>
      <c r="C31">
        <f>$D$4+'Data - IAx'!D33</f>
        <v>625</v>
      </c>
      <c r="D31">
        <f t="shared" si="2"/>
        <v>625</v>
      </c>
      <c r="E31" t="str">
        <f>'Data - IAx'!F33</f>
        <v>Stem Bolts: N/A -----</v>
      </c>
      <c r="F31" t="str">
        <f>'Data - IAx'!I33</f>
        <v xml:space="preserve">Aerobar Bolts: Top 25mm; Bottom 30mm </v>
      </c>
      <c r="G31" t="str">
        <f t="shared" si="3"/>
        <v xml:space="preserve">Stem Bolts: N/A ----- Aerobar Bolts: Top 25mm; Bottom 30mm </v>
      </c>
    </row>
    <row r="32" spans="2:7" x14ac:dyDescent="0.25">
      <c r="B32" t="str">
        <f>TEXT($B$3,0) &amp;" ----- "&amp;'Data - IAx'!B34</f>
        <v>Frame: 54 ----- Stem: Integrated ----- Carbon Aerobar (optional): + 30</v>
      </c>
      <c r="C32">
        <f>$D$4+'Data - IAx'!D34</f>
        <v>625</v>
      </c>
      <c r="D32">
        <f t="shared" si="2"/>
        <v>625</v>
      </c>
      <c r="E32" t="str">
        <f>'Data - IAx'!F34</f>
        <v>Stem Bolts: N/A -----</v>
      </c>
      <c r="F32" t="str">
        <f>'Data - IAx'!I34</f>
        <v xml:space="preserve">Aerobar Bolts: Top 30mm; Bottom 30mm </v>
      </c>
      <c r="G32" t="str">
        <f t="shared" si="3"/>
        <v xml:space="preserve">Stem Bolts: N/A ----- Aerobar Bolts: Top 30mm; Bottom 30mm </v>
      </c>
    </row>
    <row r="33" spans="2:7" x14ac:dyDescent="0.25">
      <c r="B33" t="str">
        <f>TEXT($B$3,0) &amp;" ----- "&amp;'Data - IAx'!B35</f>
        <v>Frame: 54 ----- Stem: Integrated ----- Carbon Aerobar (optional): + 30 + bridge</v>
      </c>
      <c r="C33">
        <f>$D$4+'Data - IAx'!D35</f>
        <v>630</v>
      </c>
      <c r="D33">
        <f t="shared" si="2"/>
        <v>630</v>
      </c>
      <c r="E33" t="str">
        <f>'Data - IAx'!F35</f>
        <v>Stem Bolts: N/A -----</v>
      </c>
      <c r="F33" t="str">
        <f>'Data - IAx'!I35</f>
        <v xml:space="preserve">Aerobar Bolts: Top 30mm; Bottom 30mm </v>
      </c>
      <c r="G33" t="str">
        <f t="shared" si="3"/>
        <v xml:space="preserve">Stem Bolts: N/A ----- Aerobar Bolts: Top 30mm; Bottom 30mm </v>
      </c>
    </row>
    <row r="34" spans="2:7" x14ac:dyDescent="0.25">
      <c r="B34" t="str">
        <f>TEXT($B$3,0) &amp;" ----- "&amp;'Data - IAx'!B36</f>
        <v>Frame: 54 ----- Stem: Integrated ----- Carbon Aerobar (optional): + 30 + bridge + 5</v>
      </c>
      <c r="C34">
        <f>$D$4+'Data - IAx'!D36</f>
        <v>635</v>
      </c>
      <c r="D34">
        <f t="shared" si="2"/>
        <v>635</v>
      </c>
      <c r="E34" t="str">
        <f>'Data - IAx'!F36</f>
        <v>Stem Bolts: N/A -----</v>
      </c>
      <c r="F34" t="str">
        <f>'Data - IAx'!I36</f>
        <v xml:space="preserve">Aerobar Bolts: Top 35mm; Bottom 30mm </v>
      </c>
      <c r="G34" t="str">
        <f t="shared" si="3"/>
        <v xml:space="preserve">Stem Bolts: N/A ----- Aerobar Bolts: Top 35mm; Bottom 30mm </v>
      </c>
    </row>
    <row r="35" spans="2:7" x14ac:dyDescent="0.25">
      <c r="B35" t="str">
        <f>TEXT($B$3,0) &amp;" ----- "&amp;'Data - IAx'!B37</f>
        <v>Frame: 54 ----- Stem: Integrated ----- Carbon Aerobar (optional): + 40 + bridge</v>
      </c>
      <c r="C35">
        <f>$D$4+'Data - IAx'!D37</f>
        <v>640</v>
      </c>
      <c r="D35">
        <f t="shared" si="2"/>
        <v>640</v>
      </c>
      <c r="E35" t="str">
        <f>'Data - IAx'!F37</f>
        <v>Stem Bolts: N/A -----</v>
      </c>
      <c r="F35" t="str">
        <f>'Data - IAx'!I37</f>
        <v xml:space="preserve">Aerobar Bolts: Top 35mm; Bottom 30mm </v>
      </c>
      <c r="G35" t="str">
        <f t="shared" si="3"/>
        <v xml:space="preserve">Stem Bolts: N/A ----- Aerobar Bolts: Top 35mm; Bottom 30mm </v>
      </c>
    </row>
    <row r="36" spans="2:7" x14ac:dyDescent="0.25">
      <c r="B36" t="str">
        <f>TEXT($B$3,0) &amp;" ----- "&amp;'Data - IAx'!B38</f>
        <v>Frame: 54 ----- Stem: Integrated ----- Carbon Aerobar (optional): + 40 + bridge + 5</v>
      </c>
      <c r="C36">
        <f>$D$4+'Data - IAx'!D38</f>
        <v>645</v>
      </c>
      <c r="D36">
        <f t="shared" si="2"/>
        <v>645</v>
      </c>
      <c r="E36" t="str">
        <f>'Data - IAx'!F38</f>
        <v>Stem Bolts: N/A -----</v>
      </c>
      <c r="F36" t="str">
        <f>'Data - IAx'!I38</f>
        <v xml:space="preserve">Aerobar Bolts: Top 35mm; Bottom 30mm </v>
      </c>
      <c r="G36" t="str">
        <f t="shared" si="3"/>
        <v xml:space="preserve">Stem Bolts: N/A ----- Aerobar Bolts: Top 35mm; Bottom 30mm </v>
      </c>
    </row>
    <row r="37" spans="2:7" x14ac:dyDescent="0.25">
      <c r="B37" t="str">
        <f>TEXT($B$3,0) &amp;" ----- "&amp;'Data - IAx'!B39</f>
        <v>Frame: 54 ----- Stem: Integrated ----- Carbon Aerobar (optional): + 40 + bridge + 10</v>
      </c>
      <c r="C37">
        <f>$D$4+'Data - IAx'!D39</f>
        <v>650</v>
      </c>
      <c r="D37">
        <f t="shared" si="2"/>
        <v>650</v>
      </c>
      <c r="E37" t="str">
        <f>'Data - IAx'!F39</f>
        <v>Stem Bolts: N/A -----</v>
      </c>
      <c r="F37" t="str">
        <f>'Data - IAx'!I39</f>
        <v xml:space="preserve">Aerobar Bolts: Top 40mm; Bottom 30mm </v>
      </c>
      <c r="G37" t="str">
        <f t="shared" si="3"/>
        <v xml:space="preserve">Stem Bolts: N/A ----- Aerobar Bolts: Top 40mm; Bottom 30mm </v>
      </c>
    </row>
    <row r="38" spans="2:7" x14ac:dyDescent="0.25">
      <c r="B38" t="str">
        <f>TEXT($B$3,0) &amp;" ----- "&amp;'Data - IAx'!B40</f>
        <v>Frame: 54 ----- Stem: Integrated ----- Carbon Aerobar (optional): + 40 + bridge + 5 + 10</v>
      </c>
      <c r="C38">
        <f>$D$4+'Data - IAx'!D40</f>
        <v>655</v>
      </c>
      <c r="D38">
        <f t="shared" si="2"/>
        <v>655</v>
      </c>
      <c r="E38" t="str">
        <f>'Data - IAx'!F40</f>
        <v>Stem Bolts: N/A -----</v>
      </c>
      <c r="F38" t="str">
        <f>'Data - IAx'!I40</f>
        <v xml:space="preserve">Aerobar Bolts: Top 45mm; Bottom 30mm </v>
      </c>
      <c r="G38" t="str">
        <f t="shared" si="3"/>
        <v xml:space="preserve">Stem Bolts: N/A ----- Aerobar Bolts: Top 45mm; Bottom 30mm 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6" tint="-0.249977111117893"/>
  </sheetPr>
  <dimension ref="B2:J38"/>
  <sheetViews>
    <sheetView zoomScale="70" zoomScaleNormal="70" workbookViewId="0">
      <selection activeCell="C25" sqref="C25"/>
    </sheetView>
  </sheetViews>
  <sheetFormatPr defaultRowHeight="15" x14ac:dyDescent="0.25"/>
  <cols>
    <col min="2" max="2" width="68.140625" customWidth="1"/>
    <col min="5" max="5" width="30.85546875" customWidth="1"/>
    <col min="6" max="6" width="36.7109375" customWidth="1"/>
    <col min="8" max="8" width="20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98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f>'Data - IAx'!C7</f>
        <v>424</v>
      </c>
      <c r="D4">
        <f>'Data - IAx'!D7</f>
        <v>537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469</v>
      </c>
    </row>
    <row r="7" spans="2:10" x14ac:dyDescent="0.25">
      <c r="H7" t="s">
        <v>34</v>
      </c>
      <c r="I7">
        <f>C4+'Data - IA'!$C$57</f>
        <v>514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IAx'!B11</f>
        <v xml:space="preserve">Frame: 56 ----- Stem: Integrated ----- Alloy Aerobar: </v>
      </c>
      <c r="C9">
        <f>$D$4+'Data - IAx'!D11</f>
        <v>631</v>
      </c>
      <c r="D9">
        <f t="shared" ref="D9:D23" si="0">ROUND(C9/5,0)*5</f>
        <v>630</v>
      </c>
      <c r="E9" t="str">
        <f>'Data - IAx'!F11</f>
        <v>Stem Bolts: N/A -----</v>
      </c>
      <c r="F9" t="str">
        <f>'Data - IAx'!I11</f>
        <v xml:space="preserve">Aerobar Bolts: Top 20mm; Bottom N/A </v>
      </c>
      <c r="G9" t="str">
        <f t="shared" ref="G9:G23" si="1">E9&amp;" "&amp;F9</f>
        <v xml:space="preserve">Stem Bolts: N/A ----- Aerobar Bolts: Top 20mm; Bottom N/A </v>
      </c>
    </row>
    <row r="10" spans="2:10" x14ac:dyDescent="0.25">
      <c r="B10" t="str">
        <f>TEXT($B$3,0) &amp;" ----- "&amp;'Data - IAx'!B12</f>
        <v>Frame: 56 ----- Stem: Integrated ----- Alloy Aerobar: + 5</v>
      </c>
      <c r="C10">
        <f>$D$4+'Data - IAx'!D12</f>
        <v>636</v>
      </c>
      <c r="D10">
        <f t="shared" si="0"/>
        <v>635</v>
      </c>
      <c r="E10" t="str">
        <f>'Data - IAx'!F12</f>
        <v>Stem Bolts: N/A -----</v>
      </c>
      <c r="F10" t="str">
        <f>'Data - IAx'!I12</f>
        <v xml:space="preserve">Aerobar Bolts: Top 25mm; Bottom N/A </v>
      </c>
      <c r="G10" t="str">
        <f t="shared" si="1"/>
        <v xml:space="preserve">Stem Bolts: N/A ----- Aerobar Bolts: Top 25mm; Bottom N/A </v>
      </c>
    </row>
    <row r="11" spans="2:10" x14ac:dyDescent="0.25">
      <c r="B11" t="str">
        <f>TEXT($B$3,0) &amp;" ----- "&amp;'Data - IAx'!B13</f>
        <v>Frame: 56 ----- Stem: Integrated ----- Alloy Aerobar: + 10</v>
      </c>
      <c r="C11">
        <f>$D$4+'Data - IAx'!D13</f>
        <v>641</v>
      </c>
      <c r="D11">
        <f t="shared" si="0"/>
        <v>640</v>
      </c>
      <c r="E11" t="str">
        <f>'Data - IAx'!F13</f>
        <v>Stem Bolts: N/A -----</v>
      </c>
      <c r="F11" t="str">
        <f>'Data - IAx'!I13</f>
        <v xml:space="preserve">Aerobar Bolts: Top 30mm; Bottom N/A </v>
      </c>
      <c r="G11" t="str">
        <f t="shared" si="1"/>
        <v xml:space="preserve">Stem Bolts: N/A ----- Aerobar Bolts: Top 30mm; Bottom N/A </v>
      </c>
    </row>
    <row r="12" spans="2:10" x14ac:dyDescent="0.25">
      <c r="B12" t="str">
        <f>TEXT($B$3,0) &amp;" ----- "&amp;'Data - IAx'!B14</f>
        <v>Frame: 56 ----- Stem: Integrated ----- Alloy Aerobar: + 5 + 10</v>
      </c>
      <c r="C12">
        <f>$D$4+'Data - IAx'!D14</f>
        <v>646</v>
      </c>
      <c r="D12">
        <f t="shared" si="0"/>
        <v>645</v>
      </c>
      <c r="E12" t="str">
        <f>'Data - IAx'!F14</f>
        <v>Stem Bolts: N/A -----</v>
      </c>
      <c r="F12" t="str">
        <f>'Data - IAx'!I14</f>
        <v xml:space="preserve">Aerobar Bolts: Top 35mm; Bottom N/A </v>
      </c>
      <c r="G12" t="str">
        <f t="shared" si="1"/>
        <v xml:space="preserve">Stem Bolts: N/A ----- Aerobar Bolts: Top 35mm; Bottom N/A </v>
      </c>
    </row>
    <row r="13" spans="2:10" x14ac:dyDescent="0.25">
      <c r="B13" t="str">
        <f>TEXT($B$3,0) &amp;" ----- "&amp;'Data - IAx'!B15</f>
        <v>Frame: 56 ----- Stem: Integrated ----- Alloy Aerobar: + 20</v>
      </c>
      <c r="C13">
        <f>$D$4+'Data - IAx'!D15</f>
        <v>651</v>
      </c>
      <c r="D13">
        <f t="shared" si="0"/>
        <v>650</v>
      </c>
      <c r="E13" t="str">
        <f>'Data - IAx'!F15</f>
        <v>Stem Bolts: N/A -----</v>
      </c>
      <c r="F13" t="str">
        <f>'Data - IAx'!I15</f>
        <v xml:space="preserve">Aerobar Bolts: Top 20mm; Bottom 15mm </v>
      </c>
      <c r="G13" t="str">
        <f t="shared" si="1"/>
        <v xml:space="preserve">Stem Bolts: N/A ----- Aerobar Bolts: Top 20mm; Bottom 15mm </v>
      </c>
    </row>
    <row r="14" spans="2:10" x14ac:dyDescent="0.25">
      <c r="B14" t="str">
        <f>TEXT($B$3,0) &amp;" ----- "&amp;'Data - IAx'!B16</f>
        <v xml:space="preserve">Frame: 56 ----- Stem: Integrated ----- Alloy Aerobar: + 20 + 5 </v>
      </c>
      <c r="C14">
        <f>$D$4+'Data - IAx'!D16</f>
        <v>656</v>
      </c>
      <c r="D14">
        <f t="shared" si="0"/>
        <v>655</v>
      </c>
      <c r="E14" t="str">
        <f>'Data - IAx'!F16</f>
        <v>Stem Bolts: N/A -----</v>
      </c>
      <c r="F14" t="str">
        <f>'Data - IAx'!I16</f>
        <v xml:space="preserve">Aerobar Bolts: Top 25mm; Bottom 15mm </v>
      </c>
      <c r="G14" t="str">
        <f t="shared" si="1"/>
        <v xml:space="preserve">Stem Bolts: N/A ----- Aerobar Bolts: Top 25mm; Bottom 15mm </v>
      </c>
    </row>
    <row r="15" spans="2:10" x14ac:dyDescent="0.25">
      <c r="B15" t="str">
        <f>TEXT($B$3,0) &amp;" ----- "&amp;'Data - IAx'!B17</f>
        <v>Frame: 56 ----- Stem: Integrated ----- Alloy Aerobar: + 20 + bridge</v>
      </c>
      <c r="C15">
        <f>$D$4+'Data - IAx'!D17</f>
        <v>656</v>
      </c>
      <c r="D15">
        <f t="shared" si="0"/>
        <v>655</v>
      </c>
      <c r="E15" t="str">
        <f>'Data - IAx'!F17</f>
        <v>Stem Bolts: N/A -----</v>
      </c>
      <c r="F15" t="str">
        <f>'Data - IAx'!I17</f>
        <v xml:space="preserve">Aerobar Bolts: Top 25mm; Bottom 15mm </v>
      </c>
      <c r="G15" t="str">
        <f t="shared" si="1"/>
        <v xml:space="preserve">Stem Bolts: N/A ----- Aerobar Bolts: Top 25mm; Bottom 15mm </v>
      </c>
    </row>
    <row r="16" spans="2:10" x14ac:dyDescent="0.25">
      <c r="B16" t="str">
        <f>TEXT($B$3,0) &amp;" ----- "&amp;'Data - IAx'!B18</f>
        <v>Frame: 56 ----- Stem: Integrated ----- Alloy Aerobar: + 20 + bridge + 5</v>
      </c>
      <c r="C16">
        <f>$D$4+'Data - IAx'!D18</f>
        <v>661</v>
      </c>
      <c r="D16">
        <f t="shared" si="0"/>
        <v>660</v>
      </c>
      <c r="E16" t="str">
        <f>'Data - IAx'!F18</f>
        <v>Stem Bolts: N/A -----</v>
      </c>
      <c r="F16" t="str">
        <f>'Data - IAx'!I18</f>
        <v xml:space="preserve">Aerobar Bolts: Top 25mm; Bottom 15mm </v>
      </c>
      <c r="G16" t="str">
        <f t="shared" si="1"/>
        <v xml:space="preserve">Stem Bolts: N/A ----- Aerobar Bolts: Top 25mm; Bottom 15mm </v>
      </c>
    </row>
    <row r="17" spans="2:7" x14ac:dyDescent="0.25">
      <c r="B17" t="str">
        <f>TEXT($B$3,0) &amp;" ----- "&amp;'Data - IAx'!B19</f>
        <v>Frame: 56 ----- Stem: Integrated ----- Alloy Aerobar: + 30</v>
      </c>
      <c r="C17">
        <f>$D$4+'Data - IAx'!D19</f>
        <v>661</v>
      </c>
      <c r="D17">
        <f t="shared" si="0"/>
        <v>660</v>
      </c>
      <c r="E17" t="str">
        <f>'Data - IAx'!F19</f>
        <v>Stem Bolts: N/A -----</v>
      </c>
      <c r="F17" t="str">
        <f>'Data - IAx'!I19</f>
        <v xml:space="preserve">Aerobar Bolts: Top 25mm; Bottom 15mm </v>
      </c>
      <c r="G17" t="str">
        <f t="shared" si="1"/>
        <v xml:space="preserve">Stem Bolts: N/A ----- Aerobar Bolts: Top 25mm; Bottom 15mm </v>
      </c>
    </row>
    <row r="18" spans="2:7" x14ac:dyDescent="0.25">
      <c r="B18" t="str">
        <f>TEXT($B$3,0) &amp;" ----- "&amp;'Data - IAx'!B20</f>
        <v>Frame: 56 ----- Stem: Integrated ----- Alloy Aerobar: + 30 + bridge</v>
      </c>
      <c r="C18">
        <f>$D$4+'Data - IAx'!D20</f>
        <v>666</v>
      </c>
      <c r="D18">
        <f t="shared" si="0"/>
        <v>665</v>
      </c>
      <c r="E18" t="str">
        <f>'Data - IAx'!F20</f>
        <v>Stem Bolts: N/A -----</v>
      </c>
      <c r="F18" t="str">
        <f>'Data - IAx'!I20</f>
        <v xml:space="preserve">Aerobar Bolts: Top 30mm; Bottom 15mm </v>
      </c>
      <c r="G18" t="str">
        <f t="shared" si="1"/>
        <v xml:space="preserve">Stem Bolts: N/A ----- Aerobar Bolts: Top 30mm; Bottom 15mm </v>
      </c>
    </row>
    <row r="19" spans="2:7" x14ac:dyDescent="0.25">
      <c r="B19" t="str">
        <f>TEXT($B$3,0) &amp;" ----- "&amp;'Data - IAx'!B21</f>
        <v>Frame: 56 ----- Stem: Integrated ----- Alloy Aerobar: + 30 + bridge + 5</v>
      </c>
      <c r="C19">
        <f>$D$4+'Data - IAx'!D21</f>
        <v>671</v>
      </c>
      <c r="D19">
        <f t="shared" si="0"/>
        <v>670</v>
      </c>
      <c r="E19" t="str">
        <f>'Data - IAx'!F21</f>
        <v>Stem Bolts: N/A -----</v>
      </c>
      <c r="F19" t="str">
        <f>'Data - IAx'!I21</f>
        <v xml:space="preserve">Aerobar Bolts: Top 30mm; Bottom 15mm </v>
      </c>
      <c r="G19" t="str">
        <f t="shared" si="1"/>
        <v xml:space="preserve">Stem Bolts: N/A ----- Aerobar Bolts: Top 30mm; Bottom 15mm </v>
      </c>
    </row>
    <row r="20" spans="2:7" x14ac:dyDescent="0.25">
      <c r="B20" t="str">
        <f>TEXT($B$3,0) &amp;" ----- "&amp;'Data - IAx'!B22</f>
        <v>Frame: 56 ----- Stem: Integrated ----- Alloy Aerobar: + 40 + bridge</v>
      </c>
      <c r="C20">
        <f>$D$4+'Data - IAx'!D22</f>
        <v>676</v>
      </c>
      <c r="D20">
        <f t="shared" si="0"/>
        <v>675</v>
      </c>
      <c r="E20" t="str">
        <f>'Data - IAx'!F22</f>
        <v>Stem Bolts: N/A -----</v>
      </c>
      <c r="F20" t="str">
        <f>'Data - IAx'!I22</f>
        <v xml:space="preserve">Aerobar Bolts: Top 35mm; Bottom 15mm </v>
      </c>
      <c r="G20" t="str">
        <f t="shared" si="1"/>
        <v xml:space="preserve">Stem Bolts: N/A ----- Aerobar Bolts: Top 35mm; Bottom 15mm </v>
      </c>
    </row>
    <row r="21" spans="2:7" x14ac:dyDescent="0.25">
      <c r="B21" t="str">
        <f>TEXT($B$3,0) &amp;" ----- "&amp;'Data - IAx'!B23</f>
        <v>Frame: 56 ----- Stem: Integrated ----- Alloy Aerobar: + 40 + bridge + 5</v>
      </c>
      <c r="C21">
        <f>$D$4+'Data - IAx'!D23</f>
        <v>681</v>
      </c>
      <c r="D21">
        <f t="shared" si="0"/>
        <v>680</v>
      </c>
      <c r="E21" t="str">
        <f>'Data - IAx'!F23</f>
        <v>Stem Bolts: N/A -----</v>
      </c>
      <c r="F21" t="str">
        <f>'Data - IAx'!I23</f>
        <v xml:space="preserve">Aerobar Bolts: Top 35mm; Bottom 15mm </v>
      </c>
      <c r="G21" t="str">
        <f t="shared" si="1"/>
        <v xml:space="preserve">Stem Bolts: N/A ----- Aerobar Bolts: Top 35mm; Bottom 15mm </v>
      </c>
    </row>
    <row r="22" spans="2:7" x14ac:dyDescent="0.25">
      <c r="B22" t="str">
        <f>TEXT($B$3,0) &amp;" ----- "&amp;'Data - IAx'!B24</f>
        <v>Frame: 56 ----- Stem: Integrated ----- Alloy Aerobar: + 40 + bridge + 10</v>
      </c>
      <c r="C22">
        <f>$D$4+'Data - IAx'!D24</f>
        <v>686</v>
      </c>
      <c r="D22">
        <f t="shared" si="0"/>
        <v>685</v>
      </c>
      <c r="E22" t="str">
        <f>'Data - IAx'!F24</f>
        <v>Stem Bolts: N/A -----</v>
      </c>
      <c r="F22" t="str">
        <f>'Data - IAx'!I24</f>
        <v xml:space="preserve">Aerobar Bolts: Top 35mm; Bottom 15mm </v>
      </c>
      <c r="G22" t="str">
        <f t="shared" si="1"/>
        <v xml:space="preserve">Stem Bolts: N/A ----- Aerobar Bolts: Top 35mm; Bottom 15mm </v>
      </c>
    </row>
    <row r="23" spans="2:7" x14ac:dyDescent="0.25">
      <c r="B23" t="str">
        <f>TEXT($B$3,0) &amp;" ----- "&amp;'Data - IAx'!B25</f>
        <v>Frame: 56 ----- Stem: Integrated ----- Alloy Aerobar: + 40 + bridge + 5 + 10</v>
      </c>
      <c r="C23">
        <f>$D$4+'Data - IAx'!D25</f>
        <v>691</v>
      </c>
      <c r="D23">
        <f t="shared" si="0"/>
        <v>690</v>
      </c>
      <c r="E23" t="str">
        <f>'Data - IAx'!F25</f>
        <v>Stem Bolts: N/A -----</v>
      </c>
      <c r="F23" t="str">
        <f>'Data - IAx'!I25</f>
        <v xml:space="preserve">Aerobar Bolts: Top 35mm; Bottom 25mm </v>
      </c>
      <c r="G23" t="str">
        <f t="shared" si="1"/>
        <v xml:space="preserve">Stem Bolts: N/A ----- Aerobar Bolts: Top 35mm; Bottom 25mm </v>
      </c>
    </row>
    <row r="24" spans="2:7" x14ac:dyDescent="0.25">
      <c r="B24" t="str">
        <f>TEXT($B$3,0) &amp;" ----- "&amp;'Data - IAx'!B26</f>
        <v xml:space="preserve">Frame: 56 ----- Stem: Integrated ----- Carbon Aerobar (optional): </v>
      </c>
      <c r="C24">
        <v>0</v>
      </c>
      <c r="D24">
        <f t="shared" ref="D24:D38" si="2">ROUND(C24/5,0)*5</f>
        <v>0</v>
      </c>
      <c r="E24" t="str">
        <f>'Data - IAx'!F26</f>
        <v>Stem Bolts: N/A -----</v>
      </c>
      <c r="F24" t="str">
        <f>'Data - IAx'!I26</f>
        <v xml:space="preserve">Aerobar Bolts: Top N/A; Bottom N/A </v>
      </c>
      <c r="G24" t="str">
        <f t="shared" ref="G24:G38" si="3">E24&amp;" "&amp;F24</f>
        <v xml:space="preserve">Stem Bolts: N/A ----- Aerobar Bolts: Top N/A; Bottom N/A </v>
      </c>
    </row>
    <row r="25" spans="2:7" x14ac:dyDescent="0.25">
      <c r="B25" t="str">
        <f>TEXT($B$3,0) &amp;" ----- "&amp;'Data - IAx'!B27</f>
        <v>Frame: 56 ----- Stem: Integrated ----- Carbon Aerobar (optional): + 5</v>
      </c>
      <c r="C25">
        <f>$D$4+'Data - IAx'!D27</f>
        <v>624</v>
      </c>
      <c r="D25">
        <f t="shared" si="2"/>
        <v>625</v>
      </c>
      <c r="E25" t="str">
        <f>'Data - IAx'!F27</f>
        <v>Stem Bolts: N/A -----</v>
      </c>
      <c r="F25" t="str">
        <f>'Data - IAx'!I27</f>
        <v xml:space="preserve">Aerobar Bolts: Top 45mm; Bottom N/A </v>
      </c>
      <c r="G25" t="str">
        <f t="shared" si="3"/>
        <v xml:space="preserve">Stem Bolts: N/A ----- Aerobar Bolts: Top 45mm; Bottom N/A </v>
      </c>
    </row>
    <row r="26" spans="2:7" x14ac:dyDescent="0.25">
      <c r="B26" t="str">
        <f>TEXT($B$3,0) &amp;" ----- "&amp;'Data - IAx'!B28</f>
        <v>Frame: 56 ----- Stem: Integrated ----- Carbon Aerobar (optional): + 10</v>
      </c>
      <c r="C26">
        <f>$D$4+'Data - IAx'!D28</f>
        <v>629</v>
      </c>
      <c r="D26">
        <f t="shared" si="2"/>
        <v>630</v>
      </c>
      <c r="E26" t="str">
        <f>'Data - IAx'!F28</f>
        <v>Stem Bolts: N/A -----</v>
      </c>
      <c r="F26" t="str">
        <f>'Data - IAx'!I28</f>
        <v xml:space="preserve">Aerobar Bolts: Top 50mm; Bottom N/A </v>
      </c>
      <c r="G26" t="str">
        <f t="shared" si="3"/>
        <v xml:space="preserve">Stem Bolts: N/A ----- Aerobar Bolts: Top 50mm; Bottom N/A </v>
      </c>
    </row>
    <row r="27" spans="2:7" x14ac:dyDescent="0.25">
      <c r="B27" t="str">
        <f>TEXT($B$3,0) &amp;" ----- "&amp;'Data - IAx'!B29</f>
        <v>Frame: 56 ----- Stem: Integrated ----- Carbon Aerobar (optional): + 5 + 10</v>
      </c>
      <c r="C27">
        <f>$D$4+'Data - IAx'!D29</f>
        <v>634</v>
      </c>
      <c r="D27">
        <f t="shared" si="2"/>
        <v>635</v>
      </c>
      <c r="E27" t="str">
        <f>'Data - IAx'!F29</f>
        <v>Stem Bolts: N/A -----</v>
      </c>
      <c r="F27" t="str">
        <f>'Data - IAx'!I29</f>
        <v xml:space="preserve">Aerobar Bolts: Top 55mm; Bottom N/A </v>
      </c>
      <c r="G27" t="str">
        <f t="shared" si="3"/>
        <v xml:space="preserve">Stem Bolts: N/A ----- Aerobar Bolts: Top 55mm; Bottom N/A </v>
      </c>
    </row>
    <row r="28" spans="2:7" x14ac:dyDescent="0.25">
      <c r="B28" t="str">
        <f>TEXT($B$3,0) &amp;" ----- "&amp;'Data - IAx'!B30</f>
        <v>Frame: 56 ----- Stem: Integrated ----- Carbon Aerobar (optional): + 20</v>
      </c>
      <c r="C28">
        <f>$D$4+'Data - IAx'!D30</f>
        <v>639</v>
      </c>
      <c r="D28">
        <f t="shared" si="2"/>
        <v>640</v>
      </c>
      <c r="E28" t="str">
        <f>'Data - IAx'!F30</f>
        <v>Stem Bolts: N/A -----</v>
      </c>
      <c r="F28" t="str">
        <f>'Data - IAx'!I30</f>
        <v xml:space="preserve">Aerobar Bolts: Top 20mm; Bottom 30mm </v>
      </c>
      <c r="G28" t="str">
        <f t="shared" si="3"/>
        <v xml:space="preserve">Stem Bolts: N/A ----- Aerobar Bolts: Top 20mm; Bottom 30mm </v>
      </c>
    </row>
    <row r="29" spans="2:7" x14ac:dyDescent="0.25">
      <c r="B29" t="str">
        <f>TEXT($B$3,0) &amp;" ----- "&amp;'Data - IAx'!B31</f>
        <v xml:space="preserve">Frame: 56 ----- Stem: Integrated ----- Carbon Aerobar (optional): + 20 + 5 </v>
      </c>
      <c r="C29">
        <f>$D$4+'Data - IAx'!D31</f>
        <v>644</v>
      </c>
      <c r="D29">
        <f t="shared" si="2"/>
        <v>645</v>
      </c>
      <c r="E29" t="str">
        <f>'Data - IAx'!F31</f>
        <v>Stem Bolts: N/A -----</v>
      </c>
      <c r="F29" t="str">
        <f>'Data - IAx'!I31</f>
        <v xml:space="preserve">Aerobar Bolts: Top 25mm; Bottom 30mm </v>
      </c>
      <c r="G29" t="str">
        <f t="shared" si="3"/>
        <v xml:space="preserve">Stem Bolts: N/A ----- Aerobar Bolts: Top 25mm; Bottom 30mm </v>
      </c>
    </row>
    <row r="30" spans="2:7" x14ac:dyDescent="0.25">
      <c r="B30" t="str">
        <f>TEXT($B$3,0) &amp;" ----- "&amp;'Data - IAx'!B32</f>
        <v>Frame: 56 ----- Stem: Integrated ----- Carbon Aerobar (optional): + 20 + bridge</v>
      </c>
      <c r="C30">
        <f>$D$4+'Data - IAx'!D32</f>
        <v>644</v>
      </c>
      <c r="D30">
        <f t="shared" si="2"/>
        <v>645</v>
      </c>
      <c r="E30" t="str">
        <f>'Data - IAx'!F32</f>
        <v>Stem Bolts: N/A -----</v>
      </c>
      <c r="F30" t="str">
        <f>'Data - IAx'!I32</f>
        <v xml:space="preserve">Aerobar Bolts: Top 25mm; Bottom 30mm </v>
      </c>
      <c r="G30" t="str">
        <f t="shared" si="3"/>
        <v xml:space="preserve">Stem Bolts: N/A ----- Aerobar Bolts: Top 25mm; Bottom 30mm </v>
      </c>
    </row>
    <row r="31" spans="2:7" x14ac:dyDescent="0.25">
      <c r="B31" t="str">
        <f>TEXT($B$3,0) &amp;" ----- "&amp;'Data - IAx'!B33</f>
        <v>Frame: 56 ----- Stem: Integrated ----- Carbon Aerobar (optional): + 20 + bridge + 5</v>
      </c>
      <c r="C31">
        <f>$D$4+'Data - IAx'!D33</f>
        <v>649</v>
      </c>
      <c r="D31">
        <f t="shared" si="2"/>
        <v>650</v>
      </c>
      <c r="E31" t="str">
        <f>'Data - IAx'!F33</f>
        <v>Stem Bolts: N/A -----</v>
      </c>
      <c r="F31" t="str">
        <f>'Data - IAx'!I33</f>
        <v xml:space="preserve">Aerobar Bolts: Top 25mm; Bottom 30mm </v>
      </c>
      <c r="G31" t="str">
        <f t="shared" si="3"/>
        <v xml:space="preserve">Stem Bolts: N/A ----- Aerobar Bolts: Top 25mm; Bottom 30mm </v>
      </c>
    </row>
    <row r="32" spans="2:7" x14ac:dyDescent="0.25">
      <c r="B32" t="str">
        <f>TEXT($B$3,0) &amp;" ----- "&amp;'Data - IAx'!B34</f>
        <v>Frame: 56 ----- Stem: Integrated ----- Carbon Aerobar (optional): + 30</v>
      </c>
      <c r="C32">
        <f>$D$4+'Data - IAx'!D34</f>
        <v>649</v>
      </c>
      <c r="D32">
        <f t="shared" si="2"/>
        <v>650</v>
      </c>
      <c r="E32" t="str">
        <f>'Data - IAx'!F34</f>
        <v>Stem Bolts: N/A -----</v>
      </c>
      <c r="F32" t="str">
        <f>'Data - IAx'!I34</f>
        <v xml:space="preserve">Aerobar Bolts: Top 30mm; Bottom 30mm </v>
      </c>
      <c r="G32" t="str">
        <f t="shared" si="3"/>
        <v xml:space="preserve">Stem Bolts: N/A ----- Aerobar Bolts: Top 30mm; Bottom 30mm </v>
      </c>
    </row>
    <row r="33" spans="2:7" x14ac:dyDescent="0.25">
      <c r="B33" t="str">
        <f>TEXT($B$3,0) &amp;" ----- "&amp;'Data - IAx'!B35</f>
        <v>Frame: 56 ----- Stem: Integrated ----- Carbon Aerobar (optional): + 30 + bridge</v>
      </c>
      <c r="C33">
        <f>$D$4+'Data - IAx'!D35</f>
        <v>654</v>
      </c>
      <c r="D33">
        <f t="shared" si="2"/>
        <v>655</v>
      </c>
      <c r="E33" t="str">
        <f>'Data - IAx'!F35</f>
        <v>Stem Bolts: N/A -----</v>
      </c>
      <c r="F33" t="str">
        <f>'Data - IAx'!I35</f>
        <v xml:space="preserve">Aerobar Bolts: Top 30mm; Bottom 30mm </v>
      </c>
      <c r="G33" t="str">
        <f t="shared" si="3"/>
        <v xml:space="preserve">Stem Bolts: N/A ----- Aerobar Bolts: Top 30mm; Bottom 30mm </v>
      </c>
    </row>
    <row r="34" spans="2:7" x14ac:dyDescent="0.25">
      <c r="B34" t="str">
        <f>TEXT($B$3,0) &amp;" ----- "&amp;'Data - IAx'!B36</f>
        <v>Frame: 56 ----- Stem: Integrated ----- Carbon Aerobar (optional): + 30 + bridge + 5</v>
      </c>
      <c r="C34">
        <f>$D$4+'Data - IAx'!D36</f>
        <v>659</v>
      </c>
      <c r="D34">
        <f t="shared" si="2"/>
        <v>660</v>
      </c>
      <c r="E34" t="str">
        <f>'Data - IAx'!F36</f>
        <v>Stem Bolts: N/A -----</v>
      </c>
      <c r="F34" t="str">
        <f>'Data - IAx'!I36</f>
        <v xml:space="preserve">Aerobar Bolts: Top 35mm; Bottom 30mm </v>
      </c>
      <c r="G34" t="str">
        <f t="shared" si="3"/>
        <v xml:space="preserve">Stem Bolts: N/A ----- Aerobar Bolts: Top 35mm; Bottom 30mm </v>
      </c>
    </row>
    <row r="35" spans="2:7" x14ac:dyDescent="0.25">
      <c r="B35" t="str">
        <f>TEXT($B$3,0) &amp;" ----- "&amp;'Data - IAx'!B37</f>
        <v>Frame: 56 ----- Stem: Integrated ----- Carbon Aerobar (optional): + 40 + bridge</v>
      </c>
      <c r="C35">
        <f>$D$4+'Data - IAx'!D37</f>
        <v>664</v>
      </c>
      <c r="D35">
        <f t="shared" si="2"/>
        <v>665</v>
      </c>
      <c r="E35" t="str">
        <f>'Data - IAx'!F37</f>
        <v>Stem Bolts: N/A -----</v>
      </c>
      <c r="F35" t="str">
        <f>'Data - IAx'!I37</f>
        <v xml:space="preserve">Aerobar Bolts: Top 35mm; Bottom 30mm </v>
      </c>
      <c r="G35" t="str">
        <f t="shared" si="3"/>
        <v xml:space="preserve">Stem Bolts: N/A ----- Aerobar Bolts: Top 35mm; Bottom 30mm </v>
      </c>
    </row>
    <row r="36" spans="2:7" x14ac:dyDescent="0.25">
      <c r="B36" t="str">
        <f>TEXT($B$3,0) &amp;" ----- "&amp;'Data - IAx'!B38</f>
        <v>Frame: 56 ----- Stem: Integrated ----- Carbon Aerobar (optional): + 40 + bridge + 5</v>
      </c>
      <c r="C36">
        <f>$D$4+'Data - IAx'!D38</f>
        <v>669</v>
      </c>
      <c r="D36">
        <f t="shared" si="2"/>
        <v>670</v>
      </c>
      <c r="E36" t="str">
        <f>'Data - IAx'!F38</f>
        <v>Stem Bolts: N/A -----</v>
      </c>
      <c r="F36" t="str">
        <f>'Data - IAx'!I38</f>
        <v xml:space="preserve">Aerobar Bolts: Top 35mm; Bottom 30mm </v>
      </c>
      <c r="G36" t="str">
        <f t="shared" si="3"/>
        <v xml:space="preserve">Stem Bolts: N/A ----- Aerobar Bolts: Top 35mm; Bottom 30mm </v>
      </c>
    </row>
    <row r="37" spans="2:7" x14ac:dyDescent="0.25">
      <c r="B37" t="str">
        <f>TEXT($B$3,0) &amp;" ----- "&amp;'Data - IAx'!B39</f>
        <v>Frame: 56 ----- Stem: Integrated ----- Carbon Aerobar (optional): + 40 + bridge + 10</v>
      </c>
      <c r="C37">
        <f>$D$4+'Data - IAx'!D39</f>
        <v>674</v>
      </c>
      <c r="D37">
        <f t="shared" si="2"/>
        <v>675</v>
      </c>
      <c r="E37" t="str">
        <f>'Data - IAx'!F39</f>
        <v>Stem Bolts: N/A -----</v>
      </c>
      <c r="F37" t="str">
        <f>'Data - IAx'!I39</f>
        <v xml:space="preserve">Aerobar Bolts: Top 40mm; Bottom 30mm </v>
      </c>
      <c r="G37" t="str">
        <f t="shared" si="3"/>
        <v xml:space="preserve">Stem Bolts: N/A ----- Aerobar Bolts: Top 40mm; Bottom 30mm </v>
      </c>
    </row>
    <row r="38" spans="2:7" x14ac:dyDescent="0.25">
      <c r="B38" t="str">
        <f>TEXT($B$3,0) &amp;" ----- "&amp;'Data - IAx'!B40</f>
        <v>Frame: 56 ----- Stem: Integrated ----- Carbon Aerobar (optional): + 40 + bridge + 5 + 10</v>
      </c>
      <c r="C38">
        <f>$D$4+'Data - IAx'!D40</f>
        <v>679</v>
      </c>
      <c r="D38">
        <f t="shared" si="2"/>
        <v>680</v>
      </c>
      <c r="E38" t="str">
        <f>'Data - IAx'!F40</f>
        <v>Stem Bolts: N/A -----</v>
      </c>
      <c r="F38" t="str">
        <f>'Data - IAx'!I40</f>
        <v xml:space="preserve">Aerobar Bolts: Top 45mm; Bottom 30mm </v>
      </c>
      <c r="G38" t="str">
        <f t="shared" si="3"/>
        <v xml:space="preserve">Stem Bolts: N/A ----- Aerobar Bolts: Top 45mm; Bottom 30mm 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6" tint="-0.249977111117893"/>
  </sheetPr>
  <dimension ref="B2:J38"/>
  <sheetViews>
    <sheetView zoomScale="70" zoomScaleNormal="70" workbookViewId="0">
      <selection activeCell="C25" sqref="C25"/>
    </sheetView>
  </sheetViews>
  <sheetFormatPr defaultRowHeight="15" x14ac:dyDescent="0.25"/>
  <cols>
    <col min="2" max="2" width="83.28515625" customWidth="1"/>
    <col min="5" max="5" width="23.28515625" customWidth="1"/>
    <col min="6" max="6" width="43" customWidth="1"/>
    <col min="8" max="8" width="20.42578125" customWidth="1"/>
  </cols>
  <sheetData>
    <row r="2" spans="2:10" x14ac:dyDescent="0.25">
      <c r="B2" t="s">
        <v>12</v>
      </c>
      <c r="I2" t="s">
        <v>17</v>
      </c>
      <c r="J2" t="s">
        <v>18</v>
      </c>
    </row>
    <row r="3" spans="2:10" x14ac:dyDescent="0.25">
      <c r="B3" t="s">
        <v>97</v>
      </c>
      <c r="C3" t="s">
        <v>2</v>
      </c>
      <c r="D3" t="s">
        <v>1</v>
      </c>
      <c r="H3" t="s">
        <v>15</v>
      </c>
      <c r="I3">
        <v>410</v>
      </c>
      <c r="J3">
        <v>430</v>
      </c>
    </row>
    <row r="4" spans="2:10" x14ac:dyDescent="0.25">
      <c r="B4" t="s">
        <v>10</v>
      </c>
      <c r="C4">
        <f>'Data - IAx'!C8</f>
        <v>443</v>
      </c>
      <c r="D4">
        <f>'Data - IAx'!D8</f>
        <v>559</v>
      </c>
      <c r="H4" t="s">
        <v>16</v>
      </c>
      <c r="I4">
        <v>520</v>
      </c>
      <c r="J4">
        <v>500</v>
      </c>
    </row>
    <row r="6" spans="2:10" x14ac:dyDescent="0.25">
      <c r="H6" t="s">
        <v>33</v>
      </c>
      <c r="I6">
        <f>C4+'Data - IA'!$C$12</f>
        <v>488</v>
      </c>
    </row>
    <row r="7" spans="2:10" x14ac:dyDescent="0.25">
      <c r="H7" t="s">
        <v>34</v>
      </c>
      <c r="I7">
        <f>C4+'Data - IA'!$C$57</f>
        <v>533</v>
      </c>
    </row>
    <row r="8" spans="2:10" x14ac:dyDescent="0.25">
      <c r="C8" t="s">
        <v>1</v>
      </c>
      <c r="H8" t="s">
        <v>68</v>
      </c>
      <c r="I8">
        <v>493</v>
      </c>
    </row>
    <row r="9" spans="2:10" x14ac:dyDescent="0.25">
      <c r="B9" t="str">
        <f>TEXT($B$3,0) &amp;" ----- "&amp;'Data - IAx'!B11</f>
        <v xml:space="preserve">Frame: 58 ----- Stem: Integrated ----- Alloy Aerobar: </v>
      </c>
      <c r="C9">
        <f>$D$4+'Data - IAx'!D11</f>
        <v>653</v>
      </c>
      <c r="D9">
        <f t="shared" ref="D9:D23" si="0">ROUND(C9/5,0)*5</f>
        <v>655</v>
      </c>
      <c r="E9" t="str">
        <f>'Data - IAx'!F11</f>
        <v>Stem Bolts: N/A -----</v>
      </c>
      <c r="F9" t="str">
        <f>'Data - IAx'!I11</f>
        <v xml:space="preserve">Aerobar Bolts: Top 20mm; Bottom N/A </v>
      </c>
      <c r="G9" t="str">
        <f t="shared" ref="G9:G23" si="1">E9&amp;" "&amp;F9</f>
        <v xml:space="preserve">Stem Bolts: N/A ----- Aerobar Bolts: Top 20mm; Bottom N/A </v>
      </c>
    </row>
    <row r="10" spans="2:10" x14ac:dyDescent="0.25">
      <c r="B10" t="str">
        <f>TEXT($B$3,0) &amp;" ----- "&amp;'Data - IAx'!B12</f>
        <v>Frame: 58 ----- Stem: Integrated ----- Alloy Aerobar: + 5</v>
      </c>
      <c r="C10">
        <f>$D$4+'Data - IAx'!D12</f>
        <v>658</v>
      </c>
      <c r="D10">
        <f t="shared" si="0"/>
        <v>660</v>
      </c>
      <c r="E10" t="str">
        <f>'Data - IAx'!F12</f>
        <v>Stem Bolts: N/A -----</v>
      </c>
      <c r="F10" t="str">
        <f>'Data - IAx'!I12</f>
        <v xml:space="preserve">Aerobar Bolts: Top 25mm; Bottom N/A </v>
      </c>
      <c r="G10" t="str">
        <f t="shared" si="1"/>
        <v xml:space="preserve">Stem Bolts: N/A ----- Aerobar Bolts: Top 25mm; Bottom N/A </v>
      </c>
    </row>
    <row r="11" spans="2:10" x14ac:dyDescent="0.25">
      <c r="B11" t="str">
        <f>TEXT($B$3,0) &amp;" ----- "&amp;'Data - IAx'!B13</f>
        <v>Frame: 58 ----- Stem: Integrated ----- Alloy Aerobar: + 10</v>
      </c>
      <c r="C11">
        <f>$D$4+'Data - IAx'!D13</f>
        <v>663</v>
      </c>
      <c r="D11">
        <f t="shared" si="0"/>
        <v>665</v>
      </c>
      <c r="E11" t="str">
        <f>'Data - IAx'!F13</f>
        <v>Stem Bolts: N/A -----</v>
      </c>
      <c r="F11" t="str">
        <f>'Data - IAx'!I13</f>
        <v xml:space="preserve">Aerobar Bolts: Top 30mm; Bottom N/A </v>
      </c>
      <c r="G11" t="str">
        <f t="shared" si="1"/>
        <v xml:space="preserve">Stem Bolts: N/A ----- Aerobar Bolts: Top 30mm; Bottom N/A </v>
      </c>
    </row>
    <row r="12" spans="2:10" x14ac:dyDescent="0.25">
      <c r="B12" t="str">
        <f>TEXT($B$3,0) &amp;" ----- "&amp;'Data - IAx'!B14</f>
        <v>Frame: 58 ----- Stem: Integrated ----- Alloy Aerobar: + 5 + 10</v>
      </c>
      <c r="C12">
        <f>$D$4+'Data - IAx'!D14</f>
        <v>668</v>
      </c>
      <c r="D12">
        <f t="shared" si="0"/>
        <v>670</v>
      </c>
      <c r="E12" t="str">
        <f>'Data - IAx'!F14</f>
        <v>Stem Bolts: N/A -----</v>
      </c>
      <c r="F12" t="str">
        <f>'Data - IAx'!I14</f>
        <v xml:space="preserve">Aerobar Bolts: Top 35mm; Bottom N/A </v>
      </c>
      <c r="G12" t="str">
        <f t="shared" si="1"/>
        <v xml:space="preserve">Stem Bolts: N/A ----- Aerobar Bolts: Top 35mm; Bottom N/A </v>
      </c>
    </row>
    <row r="13" spans="2:10" x14ac:dyDescent="0.25">
      <c r="B13" t="str">
        <f>TEXT($B$3,0) &amp;" ----- "&amp;'Data - IAx'!B15</f>
        <v>Frame: 58 ----- Stem: Integrated ----- Alloy Aerobar: + 20</v>
      </c>
      <c r="C13">
        <f>$D$4+'Data - IAx'!D15</f>
        <v>673</v>
      </c>
      <c r="D13">
        <f t="shared" si="0"/>
        <v>675</v>
      </c>
      <c r="E13" t="str">
        <f>'Data - IAx'!F15</f>
        <v>Stem Bolts: N/A -----</v>
      </c>
      <c r="F13" t="str">
        <f>'Data - IAx'!I15</f>
        <v xml:space="preserve">Aerobar Bolts: Top 20mm; Bottom 15mm </v>
      </c>
      <c r="G13" t="str">
        <f t="shared" si="1"/>
        <v xml:space="preserve">Stem Bolts: N/A ----- Aerobar Bolts: Top 20mm; Bottom 15mm </v>
      </c>
    </row>
    <row r="14" spans="2:10" x14ac:dyDescent="0.25">
      <c r="B14" t="str">
        <f>TEXT($B$3,0) &amp;" ----- "&amp;'Data - IAx'!B16</f>
        <v xml:space="preserve">Frame: 58 ----- Stem: Integrated ----- Alloy Aerobar: + 20 + 5 </v>
      </c>
      <c r="C14">
        <f>$D$4+'Data - IAx'!D16</f>
        <v>678</v>
      </c>
      <c r="D14">
        <f t="shared" si="0"/>
        <v>680</v>
      </c>
      <c r="E14" t="str">
        <f>'Data - IAx'!F16</f>
        <v>Stem Bolts: N/A -----</v>
      </c>
      <c r="F14" t="str">
        <f>'Data - IAx'!I16</f>
        <v xml:space="preserve">Aerobar Bolts: Top 25mm; Bottom 15mm </v>
      </c>
      <c r="G14" t="str">
        <f t="shared" si="1"/>
        <v xml:space="preserve">Stem Bolts: N/A ----- Aerobar Bolts: Top 25mm; Bottom 15mm </v>
      </c>
    </row>
    <row r="15" spans="2:10" x14ac:dyDescent="0.25">
      <c r="B15" t="str">
        <f>TEXT($B$3,0) &amp;" ----- "&amp;'Data - IAx'!B17</f>
        <v>Frame: 58 ----- Stem: Integrated ----- Alloy Aerobar: + 20 + bridge</v>
      </c>
      <c r="C15">
        <f>$D$4+'Data - IAx'!D17</f>
        <v>678</v>
      </c>
      <c r="D15">
        <f t="shared" si="0"/>
        <v>680</v>
      </c>
      <c r="E15" t="str">
        <f>'Data - IAx'!F17</f>
        <v>Stem Bolts: N/A -----</v>
      </c>
      <c r="F15" t="str">
        <f>'Data - IAx'!I17</f>
        <v xml:space="preserve">Aerobar Bolts: Top 25mm; Bottom 15mm </v>
      </c>
      <c r="G15" t="str">
        <f t="shared" si="1"/>
        <v xml:space="preserve">Stem Bolts: N/A ----- Aerobar Bolts: Top 25mm; Bottom 15mm </v>
      </c>
    </row>
    <row r="16" spans="2:10" x14ac:dyDescent="0.25">
      <c r="B16" t="str">
        <f>TEXT($B$3,0) &amp;" ----- "&amp;'Data - IAx'!B18</f>
        <v>Frame: 58 ----- Stem: Integrated ----- Alloy Aerobar: + 20 + bridge + 5</v>
      </c>
      <c r="C16">
        <f>$D$4+'Data - IAx'!D18</f>
        <v>683</v>
      </c>
      <c r="D16">
        <f t="shared" si="0"/>
        <v>685</v>
      </c>
      <c r="E16" t="str">
        <f>'Data - IAx'!F18</f>
        <v>Stem Bolts: N/A -----</v>
      </c>
      <c r="F16" t="str">
        <f>'Data - IAx'!I18</f>
        <v xml:space="preserve">Aerobar Bolts: Top 25mm; Bottom 15mm </v>
      </c>
      <c r="G16" t="str">
        <f t="shared" si="1"/>
        <v xml:space="preserve">Stem Bolts: N/A ----- Aerobar Bolts: Top 25mm; Bottom 15mm </v>
      </c>
    </row>
    <row r="17" spans="2:7" x14ac:dyDescent="0.25">
      <c r="B17" t="str">
        <f>TEXT($B$3,0) &amp;" ----- "&amp;'Data - IAx'!B19</f>
        <v>Frame: 58 ----- Stem: Integrated ----- Alloy Aerobar: + 30</v>
      </c>
      <c r="C17">
        <f>$D$4+'Data - IAx'!D19</f>
        <v>683</v>
      </c>
      <c r="D17">
        <f t="shared" si="0"/>
        <v>685</v>
      </c>
      <c r="E17" t="str">
        <f>'Data - IAx'!F19</f>
        <v>Stem Bolts: N/A -----</v>
      </c>
      <c r="F17" t="str">
        <f>'Data - IAx'!I19</f>
        <v xml:space="preserve">Aerobar Bolts: Top 25mm; Bottom 15mm </v>
      </c>
      <c r="G17" t="str">
        <f t="shared" si="1"/>
        <v xml:space="preserve">Stem Bolts: N/A ----- Aerobar Bolts: Top 25mm; Bottom 15mm </v>
      </c>
    </row>
    <row r="18" spans="2:7" x14ac:dyDescent="0.25">
      <c r="B18" t="str">
        <f>TEXT($B$3,0) &amp;" ----- "&amp;'Data - IAx'!B20</f>
        <v>Frame: 58 ----- Stem: Integrated ----- Alloy Aerobar: + 30 + bridge</v>
      </c>
      <c r="C18">
        <f>$D$4+'Data - IAx'!D20</f>
        <v>688</v>
      </c>
      <c r="D18">
        <f t="shared" si="0"/>
        <v>690</v>
      </c>
      <c r="E18" t="str">
        <f>'Data - IAx'!F20</f>
        <v>Stem Bolts: N/A -----</v>
      </c>
      <c r="F18" t="str">
        <f>'Data - IAx'!I20</f>
        <v xml:space="preserve">Aerobar Bolts: Top 30mm; Bottom 15mm </v>
      </c>
      <c r="G18" t="str">
        <f t="shared" si="1"/>
        <v xml:space="preserve">Stem Bolts: N/A ----- Aerobar Bolts: Top 30mm; Bottom 15mm </v>
      </c>
    </row>
    <row r="19" spans="2:7" x14ac:dyDescent="0.25">
      <c r="B19" t="str">
        <f>TEXT($B$3,0) &amp;" ----- "&amp;'Data - IAx'!B21</f>
        <v>Frame: 58 ----- Stem: Integrated ----- Alloy Aerobar: + 30 + bridge + 5</v>
      </c>
      <c r="C19">
        <f>$D$4+'Data - IAx'!D21</f>
        <v>693</v>
      </c>
      <c r="D19">
        <f t="shared" si="0"/>
        <v>695</v>
      </c>
      <c r="E19" t="str">
        <f>'Data - IAx'!F21</f>
        <v>Stem Bolts: N/A -----</v>
      </c>
      <c r="F19" t="str">
        <f>'Data - IAx'!I21</f>
        <v xml:space="preserve">Aerobar Bolts: Top 30mm; Bottom 15mm </v>
      </c>
      <c r="G19" t="str">
        <f t="shared" si="1"/>
        <v xml:space="preserve">Stem Bolts: N/A ----- Aerobar Bolts: Top 30mm; Bottom 15mm </v>
      </c>
    </row>
    <row r="20" spans="2:7" x14ac:dyDescent="0.25">
      <c r="B20" t="str">
        <f>TEXT($B$3,0) &amp;" ----- "&amp;'Data - IAx'!B22</f>
        <v>Frame: 58 ----- Stem: Integrated ----- Alloy Aerobar: + 40 + bridge</v>
      </c>
      <c r="C20">
        <f>$D$4+'Data - IAx'!D22</f>
        <v>698</v>
      </c>
      <c r="D20">
        <f t="shared" si="0"/>
        <v>700</v>
      </c>
      <c r="E20" t="str">
        <f>'Data - IAx'!F22</f>
        <v>Stem Bolts: N/A -----</v>
      </c>
      <c r="F20" t="str">
        <f>'Data - IAx'!I22</f>
        <v xml:space="preserve">Aerobar Bolts: Top 35mm; Bottom 15mm </v>
      </c>
      <c r="G20" t="str">
        <f t="shared" si="1"/>
        <v xml:space="preserve">Stem Bolts: N/A ----- Aerobar Bolts: Top 35mm; Bottom 15mm </v>
      </c>
    </row>
    <row r="21" spans="2:7" x14ac:dyDescent="0.25">
      <c r="B21" t="str">
        <f>TEXT($B$3,0) &amp;" ----- "&amp;'Data - IAx'!B23</f>
        <v>Frame: 58 ----- Stem: Integrated ----- Alloy Aerobar: + 40 + bridge + 5</v>
      </c>
      <c r="C21">
        <f>$D$4+'Data - IAx'!D23</f>
        <v>703</v>
      </c>
      <c r="D21">
        <f t="shared" si="0"/>
        <v>705</v>
      </c>
      <c r="E21" t="str">
        <f>'Data - IAx'!F23</f>
        <v>Stem Bolts: N/A -----</v>
      </c>
      <c r="F21" t="str">
        <f>'Data - IAx'!I23</f>
        <v xml:space="preserve">Aerobar Bolts: Top 35mm; Bottom 15mm </v>
      </c>
      <c r="G21" t="str">
        <f t="shared" si="1"/>
        <v xml:space="preserve">Stem Bolts: N/A ----- Aerobar Bolts: Top 35mm; Bottom 15mm </v>
      </c>
    </row>
    <row r="22" spans="2:7" x14ac:dyDescent="0.25">
      <c r="B22" t="str">
        <f>TEXT($B$3,0) &amp;" ----- "&amp;'Data - IAx'!B24</f>
        <v>Frame: 58 ----- Stem: Integrated ----- Alloy Aerobar: + 40 + bridge + 10</v>
      </c>
      <c r="C22">
        <f>$D$4+'Data - IAx'!D24</f>
        <v>708</v>
      </c>
      <c r="D22">
        <f t="shared" si="0"/>
        <v>710</v>
      </c>
      <c r="E22" t="str">
        <f>'Data - IAx'!F24</f>
        <v>Stem Bolts: N/A -----</v>
      </c>
      <c r="F22" t="str">
        <f>'Data - IAx'!I24</f>
        <v xml:space="preserve">Aerobar Bolts: Top 35mm; Bottom 15mm </v>
      </c>
      <c r="G22" t="str">
        <f t="shared" si="1"/>
        <v xml:space="preserve">Stem Bolts: N/A ----- Aerobar Bolts: Top 35mm; Bottom 15mm </v>
      </c>
    </row>
    <row r="23" spans="2:7" x14ac:dyDescent="0.25">
      <c r="B23" t="str">
        <f>TEXT($B$3,0) &amp;" ----- "&amp;'Data - IAx'!B25</f>
        <v>Frame: 58 ----- Stem: Integrated ----- Alloy Aerobar: + 40 + bridge + 5 + 10</v>
      </c>
      <c r="C23">
        <f>$D$4+'Data - IAx'!D25</f>
        <v>713</v>
      </c>
      <c r="D23">
        <f t="shared" si="0"/>
        <v>715</v>
      </c>
      <c r="E23" t="str">
        <f>'Data - IAx'!F25</f>
        <v>Stem Bolts: N/A -----</v>
      </c>
      <c r="F23" t="str">
        <f>'Data - IAx'!I25</f>
        <v xml:space="preserve">Aerobar Bolts: Top 35mm; Bottom 25mm </v>
      </c>
      <c r="G23" t="str">
        <f t="shared" si="1"/>
        <v xml:space="preserve">Stem Bolts: N/A ----- Aerobar Bolts: Top 35mm; Bottom 25mm </v>
      </c>
    </row>
    <row r="24" spans="2:7" x14ac:dyDescent="0.25">
      <c r="B24" t="str">
        <f>TEXT($B$3,0) &amp;" ----- "&amp;'Data - IAx'!B26</f>
        <v xml:space="preserve">Frame: 58 ----- Stem: Integrated ----- Carbon Aerobar (optional): </v>
      </c>
      <c r="C24">
        <v>0</v>
      </c>
      <c r="D24">
        <f t="shared" ref="D24:D38" si="2">ROUND(C24/5,0)*5</f>
        <v>0</v>
      </c>
      <c r="E24" t="str">
        <f>'Data - IAx'!F26</f>
        <v>Stem Bolts: N/A -----</v>
      </c>
      <c r="F24" t="str">
        <f>'Data - IAx'!I26</f>
        <v xml:space="preserve">Aerobar Bolts: Top N/A; Bottom N/A </v>
      </c>
      <c r="G24" t="str">
        <f t="shared" ref="G24:G38" si="3">E24&amp;" "&amp;F24</f>
        <v xml:space="preserve">Stem Bolts: N/A ----- Aerobar Bolts: Top N/A; Bottom N/A </v>
      </c>
    </row>
    <row r="25" spans="2:7" x14ac:dyDescent="0.25">
      <c r="B25" t="str">
        <f>TEXT($B$3,0) &amp;" ----- "&amp;'Data - IAx'!B27</f>
        <v>Frame: 58 ----- Stem: Integrated ----- Carbon Aerobar (optional): + 5</v>
      </c>
      <c r="C25">
        <f>$D$4+'Data - IAx'!D27</f>
        <v>646</v>
      </c>
      <c r="D25">
        <f t="shared" si="2"/>
        <v>645</v>
      </c>
      <c r="E25" t="str">
        <f>'Data - IAx'!F27</f>
        <v>Stem Bolts: N/A -----</v>
      </c>
      <c r="F25" t="str">
        <f>'Data - IAx'!I27</f>
        <v xml:space="preserve">Aerobar Bolts: Top 45mm; Bottom N/A </v>
      </c>
      <c r="G25" t="str">
        <f t="shared" si="3"/>
        <v xml:space="preserve">Stem Bolts: N/A ----- Aerobar Bolts: Top 45mm; Bottom N/A </v>
      </c>
    </row>
    <row r="26" spans="2:7" x14ac:dyDescent="0.25">
      <c r="B26" t="str">
        <f>TEXT($B$3,0) &amp;" ----- "&amp;'Data - IAx'!B28</f>
        <v>Frame: 58 ----- Stem: Integrated ----- Carbon Aerobar (optional): + 10</v>
      </c>
      <c r="C26">
        <f>$D$4+'Data - IAx'!D28</f>
        <v>651</v>
      </c>
      <c r="D26">
        <f t="shared" si="2"/>
        <v>650</v>
      </c>
      <c r="E26" t="str">
        <f>'Data - IAx'!F28</f>
        <v>Stem Bolts: N/A -----</v>
      </c>
      <c r="F26" t="str">
        <f>'Data - IAx'!I28</f>
        <v xml:space="preserve">Aerobar Bolts: Top 50mm; Bottom N/A </v>
      </c>
      <c r="G26" t="str">
        <f t="shared" si="3"/>
        <v xml:space="preserve">Stem Bolts: N/A ----- Aerobar Bolts: Top 50mm; Bottom N/A </v>
      </c>
    </row>
    <row r="27" spans="2:7" x14ac:dyDescent="0.25">
      <c r="B27" t="str">
        <f>TEXT($B$3,0) &amp;" ----- "&amp;'Data - IAx'!B29</f>
        <v>Frame: 58 ----- Stem: Integrated ----- Carbon Aerobar (optional): + 5 + 10</v>
      </c>
      <c r="C27">
        <f>$D$4+'Data - IAx'!D29</f>
        <v>656</v>
      </c>
      <c r="D27">
        <f t="shared" si="2"/>
        <v>655</v>
      </c>
      <c r="E27" t="str">
        <f>'Data - IAx'!F29</f>
        <v>Stem Bolts: N/A -----</v>
      </c>
      <c r="F27" t="str">
        <f>'Data - IAx'!I29</f>
        <v xml:space="preserve">Aerobar Bolts: Top 55mm; Bottom N/A </v>
      </c>
      <c r="G27" t="str">
        <f t="shared" si="3"/>
        <v xml:space="preserve">Stem Bolts: N/A ----- Aerobar Bolts: Top 55mm; Bottom N/A </v>
      </c>
    </row>
    <row r="28" spans="2:7" x14ac:dyDescent="0.25">
      <c r="B28" t="str">
        <f>TEXT($B$3,0) &amp;" ----- "&amp;'Data - IAx'!B30</f>
        <v>Frame: 58 ----- Stem: Integrated ----- Carbon Aerobar (optional): + 20</v>
      </c>
      <c r="C28">
        <f>$D$4+'Data - IAx'!D30</f>
        <v>661</v>
      </c>
      <c r="D28">
        <f t="shared" si="2"/>
        <v>660</v>
      </c>
      <c r="E28" t="str">
        <f>'Data - IAx'!F30</f>
        <v>Stem Bolts: N/A -----</v>
      </c>
      <c r="F28" t="str">
        <f>'Data - IAx'!I30</f>
        <v xml:space="preserve">Aerobar Bolts: Top 20mm; Bottom 30mm </v>
      </c>
      <c r="G28" t="str">
        <f t="shared" si="3"/>
        <v xml:space="preserve">Stem Bolts: N/A ----- Aerobar Bolts: Top 20mm; Bottom 30mm </v>
      </c>
    </row>
    <row r="29" spans="2:7" x14ac:dyDescent="0.25">
      <c r="B29" t="str">
        <f>TEXT($B$3,0) &amp;" ----- "&amp;'Data - IAx'!B31</f>
        <v xml:space="preserve">Frame: 58 ----- Stem: Integrated ----- Carbon Aerobar (optional): + 20 + 5 </v>
      </c>
      <c r="C29">
        <f>$D$4+'Data - IAx'!D31</f>
        <v>666</v>
      </c>
      <c r="D29">
        <f t="shared" si="2"/>
        <v>665</v>
      </c>
      <c r="E29" t="str">
        <f>'Data - IAx'!F31</f>
        <v>Stem Bolts: N/A -----</v>
      </c>
      <c r="F29" t="str">
        <f>'Data - IAx'!I31</f>
        <v xml:space="preserve">Aerobar Bolts: Top 25mm; Bottom 30mm </v>
      </c>
      <c r="G29" t="str">
        <f t="shared" si="3"/>
        <v xml:space="preserve">Stem Bolts: N/A ----- Aerobar Bolts: Top 25mm; Bottom 30mm </v>
      </c>
    </row>
    <row r="30" spans="2:7" x14ac:dyDescent="0.25">
      <c r="B30" t="str">
        <f>TEXT($B$3,0) &amp;" ----- "&amp;'Data - IAx'!B32</f>
        <v>Frame: 58 ----- Stem: Integrated ----- Carbon Aerobar (optional): + 20 + bridge</v>
      </c>
      <c r="C30">
        <f>$D$4+'Data - IAx'!D32</f>
        <v>666</v>
      </c>
      <c r="D30">
        <f t="shared" si="2"/>
        <v>665</v>
      </c>
      <c r="E30" t="str">
        <f>'Data - IAx'!F32</f>
        <v>Stem Bolts: N/A -----</v>
      </c>
      <c r="F30" t="str">
        <f>'Data - IAx'!I32</f>
        <v xml:space="preserve">Aerobar Bolts: Top 25mm; Bottom 30mm </v>
      </c>
      <c r="G30" t="str">
        <f t="shared" si="3"/>
        <v xml:space="preserve">Stem Bolts: N/A ----- Aerobar Bolts: Top 25mm; Bottom 30mm </v>
      </c>
    </row>
    <row r="31" spans="2:7" x14ac:dyDescent="0.25">
      <c r="B31" t="str">
        <f>TEXT($B$3,0) &amp;" ----- "&amp;'Data - IAx'!B33</f>
        <v>Frame: 58 ----- Stem: Integrated ----- Carbon Aerobar (optional): + 20 + bridge + 5</v>
      </c>
      <c r="C31">
        <f>$D$4+'Data - IAx'!D33</f>
        <v>671</v>
      </c>
      <c r="D31">
        <f t="shared" si="2"/>
        <v>670</v>
      </c>
      <c r="E31" t="str">
        <f>'Data - IAx'!F33</f>
        <v>Stem Bolts: N/A -----</v>
      </c>
      <c r="F31" t="str">
        <f>'Data - IAx'!I33</f>
        <v xml:space="preserve">Aerobar Bolts: Top 25mm; Bottom 30mm </v>
      </c>
      <c r="G31" t="str">
        <f t="shared" si="3"/>
        <v xml:space="preserve">Stem Bolts: N/A ----- Aerobar Bolts: Top 25mm; Bottom 30mm </v>
      </c>
    </row>
    <row r="32" spans="2:7" x14ac:dyDescent="0.25">
      <c r="B32" t="str">
        <f>TEXT($B$3,0) &amp;" ----- "&amp;'Data - IAx'!B34</f>
        <v>Frame: 58 ----- Stem: Integrated ----- Carbon Aerobar (optional): + 30</v>
      </c>
      <c r="C32">
        <f>$D$4+'Data - IAx'!D34</f>
        <v>671</v>
      </c>
      <c r="D32">
        <f t="shared" si="2"/>
        <v>670</v>
      </c>
      <c r="E32" t="str">
        <f>'Data - IAx'!F34</f>
        <v>Stem Bolts: N/A -----</v>
      </c>
      <c r="F32" t="str">
        <f>'Data - IAx'!I34</f>
        <v xml:space="preserve">Aerobar Bolts: Top 30mm; Bottom 30mm </v>
      </c>
      <c r="G32" t="str">
        <f t="shared" si="3"/>
        <v xml:space="preserve">Stem Bolts: N/A ----- Aerobar Bolts: Top 30mm; Bottom 30mm </v>
      </c>
    </row>
    <row r="33" spans="2:7" x14ac:dyDescent="0.25">
      <c r="B33" t="str">
        <f>TEXT($B$3,0) &amp;" ----- "&amp;'Data - IAx'!B35</f>
        <v>Frame: 58 ----- Stem: Integrated ----- Carbon Aerobar (optional): + 30 + bridge</v>
      </c>
      <c r="C33">
        <f>$D$4+'Data - IAx'!D35</f>
        <v>676</v>
      </c>
      <c r="D33">
        <f t="shared" si="2"/>
        <v>675</v>
      </c>
      <c r="E33" t="str">
        <f>'Data - IAx'!F35</f>
        <v>Stem Bolts: N/A -----</v>
      </c>
      <c r="F33" t="str">
        <f>'Data - IAx'!I35</f>
        <v xml:space="preserve">Aerobar Bolts: Top 30mm; Bottom 30mm </v>
      </c>
      <c r="G33" t="str">
        <f t="shared" si="3"/>
        <v xml:space="preserve">Stem Bolts: N/A ----- Aerobar Bolts: Top 30mm; Bottom 30mm </v>
      </c>
    </row>
    <row r="34" spans="2:7" x14ac:dyDescent="0.25">
      <c r="B34" t="str">
        <f>TEXT($B$3,0) &amp;" ----- "&amp;'Data - IAx'!B36</f>
        <v>Frame: 58 ----- Stem: Integrated ----- Carbon Aerobar (optional): + 30 + bridge + 5</v>
      </c>
      <c r="C34">
        <f>$D$4+'Data - IAx'!D36</f>
        <v>681</v>
      </c>
      <c r="D34">
        <f t="shared" si="2"/>
        <v>680</v>
      </c>
      <c r="E34" t="str">
        <f>'Data - IAx'!F36</f>
        <v>Stem Bolts: N/A -----</v>
      </c>
      <c r="F34" t="str">
        <f>'Data - IAx'!I36</f>
        <v xml:space="preserve">Aerobar Bolts: Top 35mm; Bottom 30mm </v>
      </c>
      <c r="G34" t="str">
        <f t="shared" si="3"/>
        <v xml:space="preserve">Stem Bolts: N/A ----- Aerobar Bolts: Top 35mm; Bottom 30mm </v>
      </c>
    </row>
    <row r="35" spans="2:7" x14ac:dyDescent="0.25">
      <c r="B35" t="str">
        <f>TEXT($B$3,0) &amp;" ----- "&amp;'Data - IAx'!B37</f>
        <v>Frame: 58 ----- Stem: Integrated ----- Carbon Aerobar (optional): + 40 + bridge</v>
      </c>
      <c r="C35">
        <f>$D$4+'Data - IAx'!D37</f>
        <v>686</v>
      </c>
      <c r="D35">
        <f t="shared" si="2"/>
        <v>685</v>
      </c>
      <c r="E35" t="str">
        <f>'Data - IAx'!F37</f>
        <v>Stem Bolts: N/A -----</v>
      </c>
      <c r="F35" t="str">
        <f>'Data - IAx'!I37</f>
        <v xml:space="preserve">Aerobar Bolts: Top 35mm; Bottom 30mm </v>
      </c>
      <c r="G35" t="str">
        <f t="shared" si="3"/>
        <v xml:space="preserve">Stem Bolts: N/A ----- Aerobar Bolts: Top 35mm; Bottom 30mm </v>
      </c>
    </row>
    <row r="36" spans="2:7" x14ac:dyDescent="0.25">
      <c r="B36" t="str">
        <f>TEXT($B$3,0) &amp;" ----- "&amp;'Data - IAx'!B38</f>
        <v>Frame: 58 ----- Stem: Integrated ----- Carbon Aerobar (optional): + 40 + bridge + 5</v>
      </c>
      <c r="C36">
        <f>$D$4+'Data - IAx'!D38</f>
        <v>691</v>
      </c>
      <c r="D36">
        <f t="shared" si="2"/>
        <v>690</v>
      </c>
      <c r="E36" t="str">
        <f>'Data - IAx'!F38</f>
        <v>Stem Bolts: N/A -----</v>
      </c>
      <c r="F36" t="str">
        <f>'Data - IAx'!I38</f>
        <v xml:space="preserve">Aerobar Bolts: Top 35mm; Bottom 30mm </v>
      </c>
      <c r="G36" t="str">
        <f t="shared" si="3"/>
        <v xml:space="preserve">Stem Bolts: N/A ----- Aerobar Bolts: Top 35mm; Bottom 30mm </v>
      </c>
    </row>
    <row r="37" spans="2:7" x14ac:dyDescent="0.25">
      <c r="B37" t="str">
        <f>TEXT($B$3,0) &amp;" ----- "&amp;'Data - IAx'!B39</f>
        <v>Frame: 58 ----- Stem: Integrated ----- Carbon Aerobar (optional): + 40 + bridge + 10</v>
      </c>
      <c r="C37">
        <f>$D$4+'Data - IAx'!D39</f>
        <v>696</v>
      </c>
      <c r="D37">
        <f t="shared" si="2"/>
        <v>695</v>
      </c>
      <c r="E37" t="str">
        <f>'Data - IAx'!F39</f>
        <v>Stem Bolts: N/A -----</v>
      </c>
      <c r="F37" t="str">
        <f>'Data - IAx'!I39</f>
        <v xml:space="preserve">Aerobar Bolts: Top 40mm; Bottom 30mm </v>
      </c>
      <c r="G37" t="str">
        <f t="shared" si="3"/>
        <v xml:space="preserve">Stem Bolts: N/A ----- Aerobar Bolts: Top 40mm; Bottom 30mm </v>
      </c>
    </row>
    <row r="38" spans="2:7" x14ac:dyDescent="0.25">
      <c r="B38" t="str">
        <f>TEXT($B$3,0) &amp;" ----- "&amp;'Data - IAx'!B40</f>
        <v>Frame: 58 ----- Stem: Integrated ----- Carbon Aerobar (optional): + 40 + bridge + 5 + 10</v>
      </c>
      <c r="C38">
        <f>$D$4+'Data - IAx'!D40</f>
        <v>701</v>
      </c>
      <c r="D38">
        <f t="shared" si="2"/>
        <v>700</v>
      </c>
      <c r="E38" t="str">
        <f>'Data - IAx'!F40</f>
        <v>Stem Bolts: N/A -----</v>
      </c>
      <c r="F38" t="str">
        <f>'Data - IAx'!I40</f>
        <v xml:space="preserve">Aerobar Bolts: Top 45mm; Bottom 30mm </v>
      </c>
      <c r="G38" t="str">
        <f t="shared" si="3"/>
        <v xml:space="preserve">Stem Bolts: N/A ----- Aerobar Bolts: Top 45mm; Bottom 30mm 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6" tint="-0.249977111117893"/>
  </sheetPr>
  <dimension ref="B2:W40"/>
  <sheetViews>
    <sheetView zoomScale="70" zoomScaleNormal="70" workbookViewId="0">
      <selection activeCell="I43" sqref="I43"/>
    </sheetView>
  </sheetViews>
  <sheetFormatPr defaultRowHeight="15" x14ac:dyDescent="0.25"/>
  <cols>
    <col min="1" max="1" width="9.140625" style="7"/>
    <col min="2" max="2" width="69.5703125" style="7" customWidth="1"/>
    <col min="3" max="4" width="9.140625" style="7"/>
    <col min="5" max="5" width="10.42578125" style="7" customWidth="1"/>
    <col min="6" max="6" width="24" style="7" bestFit="1" customWidth="1"/>
    <col min="7" max="7" width="17" style="7" customWidth="1"/>
    <col min="8" max="8" width="9.140625" style="7"/>
    <col min="9" max="9" width="18.7109375" style="7" customWidth="1"/>
    <col min="10" max="13" width="9.140625" style="7"/>
    <col min="14" max="14" width="20.28515625" style="7" customWidth="1"/>
    <col min="15" max="18" width="9.140625" style="7"/>
    <col min="19" max="19" width="21.42578125" style="7" bestFit="1" customWidth="1"/>
    <col min="20" max="20" width="11" style="7" bestFit="1" customWidth="1"/>
    <col min="21" max="21" width="8.28515625" style="7" customWidth="1"/>
    <col min="22" max="22" width="10" style="7" bestFit="1" customWidth="1"/>
    <col min="23" max="16384" width="9.140625" style="7"/>
  </cols>
  <sheetData>
    <row r="2" spans="2:23" x14ac:dyDescent="0.25">
      <c r="B2" s="7" t="s">
        <v>8</v>
      </c>
      <c r="I2" s="7" t="s">
        <v>38</v>
      </c>
      <c r="N2" s="7" t="s">
        <v>39</v>
      </c>
      <c r="P2" s="7">
        <f>40+55</f>
        <v>95</v>
      </c>
      <c r="Q2" s="7">
        <f>235+55</f>
        <v>290</v>
      </c>
      <c r="S2" s="9" t="s">
        <v>71</v>
      </c>
      <c r="V2" s="7" t="s">
        <v>72</v>
      </c>
    </row>
    <row r="3" spans="2:23" x14ac:dyDescent="0.25">
      <c r="B3" s="7" t="s">
        <v>0</v>
      </c>
      <c r="C3" s="7" t="s">
        <v>2</v>
      </c>
      <c r="D3" s="7" t="s">
        <v>1</v>
      </c>
      <c r="F3" s="7" t="s">
        <v>120</v>
      </c>
      <c r="I3" s="7" t="s">
        <v>0</v>
      </c>
      <c r="J3" s="7" t="s">
        <v>21</v>
      </c>
      <c r="K3" s="7" t="s">
        <v>22</v>
      </c>
      <c r="S3" s="8" t="s">
        <v>35</v>
      </c>
      <c r="T3" s="7">
        <v>64</v>
      </c>
      <c r="V3" s="7" t="s">
        <v>21</v>
      </c>
      <c r="W3" s="7">
        <v>-30</v>
      </c>
    </row>
    <row r="4" spans="2:23" x14ac:dyDescent="0.25">
      <c r="B4" s="7" t="s">
        <v>3</v>
      </c>
      <c r="C4" s="7">
        <v>380</v>
      </c>
      <c r="D4" s="7">
        <v>467</v>
      </c>
      <c r="F4" s="7" t="s">
        <v>121</v>
      </c>
      <c r="G4" s="7">
        <v>94</v>
      </c>
      <c r="I4" s="7" t="s">
        <v>3</v>
      </c>
      <c r="J4" s="7">
        <f>D4+$P$2</f>
        <v>562</v>
      </c>
      <c r="K4" s="7">
        <f>D4+$Q$2</f>
        <v>757</v>
      </c>
      <c r="N4" s="7" t="s">
        <v>55</v>
      </c>
      <c r="S4" s="8"/>
      <c r="V4" s="7" t="s">
        <v>22</v>
      </c>
      <c r="W4" s="7">
        <v>50</v>
      </c>
    </row>
    <row r="5" spans="2:23" x14ac:dyDescent="0.25">
      <c r="B5" s="7" t="s">
        <v>4</v>
      </c>
      <c r="C5" s="7">
        <v>395</v>
      </c>
      <c r="D5" s="7">
        <v>489</v>
      </c>
      <c r="F5" s="7" t="s">
        <v>116</v>
      </c>
      <c r="G5" s="7">
        <v>82</v>
      </c>
      <c r="I5" s="7" t="s">
        <v>4</v>
      </c>
      <c r="J5" s="7">
        <f t="shared" ref="J5:J8" si="0">D5+$P$2</f>
        <v>584</v>
      </c>
      <c r="K5" s="7">
        <f t="shared" ref="K5:K8" si="1">D5+$Q$2</f>
        <v>779</v>
      </c>
      <c r="N5" s="7" t="s">
        <v>3</v>
      </c>
      <c r="O5" s="7">
        <v>79.5</v>
      </c>
      <c r="S5" s="8"/>
    </row>
    <row r="6" spans="2:23" x14ac:dyDescent="0.25">
      <c r="B6" s="7" t="s">
        <v>5</v>
      </c>
      <c r="C6" s="7">
        <v>406</v>
      </c>
      <c r="D6" s="7">
        <v>513</v>
      </c>
      <c r="I6" s="7" t="s">
        <v>5</v>
      </c>
      <c r="J6" s="7">
        <f t="shared" si="0"/>
        <v>608</v>
      </c>
      <c r="K6" s="7">
        <f t="shared" si="1"/>
        <v>803</v>
      </c>
      <c r="N6" s="7" t="s">
        <v>4</v>
      </c>
      <c r="O6" s="7">
        <v>79</v>
      </c>
    </row>
    <row r="7" spans="2:23" x14ac:dyDescent="0.25">
      <c r="B7" s="7" t="s">
        <v>6</v>
      </c>
      <c r="C7" s="7">
        <v>424</v>
      </c>
      <c r="D7" s="7">
        <v>537</v>
      </c>
      <c r="I7" s="7" t="s">
        <v>6</v>
      </c>
      <c r="J7" s="7">
        <f t="shared" si="0"/>
        <v>632</v>
      </c>
      <c r="K7" s="7">
        <f t="shared" si="1"/>
        <v>827</v>
      </c>
      <c r="N7" s="7" t="s">
        <v>5</v>
      </c>
      <c r="O7" s="7">
        <v>78.5</v>
      </c>
      <c r="S7" s="9" t="s">
        <v>2</v>
      </c>
    </row>
    <row r="8" spans="2:23" x14ac:dyDescent="0.25">
      <c r="B8" s="7" t="s">
        <v>7</v>
      </c>
      <c r="C8" s="7">
        <v>443</v>
      </c>
      <c r="D8" s="7">
        <v>559</v>
      </c>
      <c r="I8" s="7" t="s">
        <v>7</v>
      </c>
      <c r="J8" s="7">
        <f t="shared" si="0"/>
        <v>654</v>
      </c>
      <c r="K8" s="7">
        <f t="shared" si="1"/>
        <v>849</v>
      </c>
      <c r="N8" s="7" t="s">
        <v>6</v>
      </c>
      <c r="O8" s="7">
        <v>78</v>
      </c>
      <c r="S8" s="9" t="s">
        <v>70</v>
      </c>
      <c r="T8" s="7" t="s">
        <v>35</v>
      </c>
    </row>
    <row r="9" spans="2:23" x14ac:dyDescent="0.25">
      <c r="G9" s="7" t="s">
        <v>48</v>
      </c>
      <c r="N9" s="7" t="s">
        <v>7</v>
      </c>
      <c r="O9" s="7">
        <v>77.5</v>
      </c>
      <c r="S9" s="7" t="s">
        <v>3</v>
      </c>
      <c r="T9" s="7">
        <f>C4+$T$3</f>
        <v>444</v>
      </c>
    </row>
    <row r="10" spans="2:23" x14ac:dyDescent="0.25">
      <c r="B10" s="7" t="s">
        <v>9</v>
      </c>
      <c r="E10" s="7" t="s">
        <v>47</v>
      </c>
      <c r="G10" s="7" t="s">
        <v>49</v>
      </c>
      <c r="H10" s="7" t="s">
        <v>50</v>
      </c>
      <c r="S10" s="7" t="s">
        <v>4</v>
      </c>
      <c r="T10" s="7">
        <f t="shared" ref="T10:T13" si="2">C5+$T$3</f>
        <v>459</v>
      </c>
    </row>
    <row r="11" spans="2:23" x14ac:dyDescent="0.25">
      <c r="B11" s="7" t="s">
        <v>118</v>
      </c>
      <c r="C11" s="7">
        <f>$T$3</f>
        <v>64</v>
      </c>
      <c r="D11" s="7">
        <f>G4</f>
        <v>94</v>
      </c>
      <c r="E11" s="7" t="s">
        <v>102</v>
      </c>
      <c r="F11" s="7" t="str">
        <f>IF(E11="N/A","Stem Bolts: N/A -----",TEXT($E$10,0)&amp;" "&amp;TEXT(E11,0)&amp;"mm -----")</f>
        <v>Stem Bolts: N/A -----</v>
      </c>
      <c r="G11" s="7">
        <v>20</v>
      </c>
      <c r="H11" s="7" t="s">
        <v>102</v>
      </c>
      <c r="I11" s="7" t="str">
        <f>IF(AND(G11="N/A",H11="N/A"),TEXT($G$9,0)&amp;" "&amp;TEXT($G$10,0)&amp;" "&amp;G11&amp;"; "&amp;TEXT($H$10,0)&amp;" "&amp;H11&amp;" ",IF(H11="N/A",TEXT($G$9,0)&amp;" "&amp;TEXT($G$10,0)&amp;" "&amp;G11&amp;"mm; "&amp;TEXT($H$10,0)&amp;" "&amp;H11&amp;" ",TEXT($G$9,0)&amp;" "&amp;TEXT($G$10,0)&amp;" "&amp;G11&amp;"mm; "&amp;TEXT($H$10,0)&amp;" "&amp;H11&amp;"mm "))</f>
        <v xml:space="preserve">Aerobar Bolts: Top 20mm; Bottom N/A </v>
      </c>
      <c r="S11" s="7" t="s">
        <v>5</v>
      </c>
      <c r="T11" s="7">
        <f>C6+$T$3</f>
        <v>470</v>
      </c>
    </row>
    <row r="12" spans="2:23" x14ac:dyDescent="0.25">
      <c r="B12" s="7" t="str">
        <f>TEXT($B$11,0) &amp; "+ 5"</f>
        <v>Stem: Integrated ----- Alloy Aerobar: + 5</v>
      </c>
      <c r="C12" s="7">
        <f t="shared" ref="C12:C25" si="3">$T$3</f>
        <v>64</v>
      </c>
      <c r="D12" s="7">
        <f>D11+5</f>
        <v>99</v>
      </c>
      <c r="E12" s="7" t="s">
        <v>102</v>
      </c>
      <c r="F12" s="7" t="str">
        <f>IF(E12="N/A","Stem Bolts: N/A -----",TEXT($E$10,0)&amp;" "&amp;TEXT(E12,0)&amp;"mm -----")</f>
        <v>Stem Bolts: N/A -----</v>
      </c>
      <c r="G12" s="7">
        <v>25</v>
      </c>
      <c r="H12" s="7" t="s">
        <v>102</v>
      </c>
      <c r="I12" s="7" t="str">
        <f>IF(AND(G12="N/A",H12="N/A"),TEXT($G$9,0)&amp;" "&amp;TEXT($G$10,0)&amp;" "&amp;G12&amp;"; "&amp;TEXT($H$10,0)&amp;" "&amp;H12&amp;" ",IF(H12="N/A",TEXT($G$9,0)&amp;" "&amp;TEXT($G$10,0)&amp;" "&amp;G12&amp;"mm; "&amp;TEXT($H$10,0)&amp;" "&amp;H12&amp;" ",TEXT($G$9,0)&amp;" "&amp;TEXT($G$10,0)&amp;" "&amp;G12&amp;"mm; "&amp;TEXT($H$10,0)&amp;" "&amp;H12&amp;"mm "))</f>
        <v xml:space="preserve">Aerobar Bolts: Top 25mm; Bottom N/A </v>
      </c>
      <c r="N12" s="7" t="s">
        <v>56</v>
      </c>
      <c r="O12" s="7" t="s">
        <v>42</v>
      </c>
      <c r="P12" s="7" t="s">
        <v>41</v>
      </c>
      <c r="S12" s="7" t="s">
        <v>6</v>
      </c>
      <c r="T12" s="7">
        <f t="shared" si="2"/>
        <v>488</v>
      </c>
    </row>
    <row r="13" spans="2:23" x14ac:dyDescent="0.25">
      <c r="B13" s="7" t="str">
        <f>TEXT($B$11,0) &amp; "+ 10"</f>
        <v>Stem: Integrated ----- Alloy Aerobar: + 10</v>
      </c>
      <c r="C13" s="7">
        <f t="shared" si="3"/>
        <v>64</v>
      </c>
      <c r="D13" s="7">
        <f>D11+10</f>
        <v>104</v>
      </c>
      <c r="E13" s="7" t="s">
        <v>102</v>
      </c>
      <c r="F13" s="7" t="str">
        <f>IF(E13="N/A","Stem Bolts: N/A -----",TEXT($E$10,0)&amp;" "&amp;TEXT(E13,0)&amp;"mm -----")</f>
        <v>Stem Bolts: N/A -----</v>
      </c>
      <c r="G13" s="7">
        <v>30</v>
      </c>
      <c r="H13" s="7" t="s">
        <v>102</v>
      </c>
      <c r="I13" s="7" t="str">
        <f>IF(AND(G13="N/A",H13="N/A"),TEXT($G$9,0)&amp;" "&amp;TEXT($G$10,0)&amp;" "&amp;G13&amp;"; "&amp;TEXT($H$10,0)&amp;" "&amp;H13&amp;" ",IF(H13="N/A",TEXT($G$9,0)&amp;" "&amp;TEXT($G$10,0)&amp;" "&amp;G13&amp;"mm; "&amp;TEXT($H$10,0)&amp;" "&amp;H13&amp;" ",TEXT($G$9,0)&amp;" "&amp;TEXT($G$10,0)&amp;" "&amp;G13&amp;"mm; "&amp;TEXT($H$10,0)&amp;" "&amp;H13&amp;"mm "))</f>
        <v xml:space="preserve">Aerobar Bolts: Top 30mm; Bottom N/A </v>
      </c>
      <c r="N13" s="7" t="s">
        <v>57</v>
      </c>
      <c r="O13" s="7">
        <v>120</v>
      </c>
      <c r="P13" s="7">
        <v>160</v>
      </c>
      <c r="S13" s="7" t="s">
        <v>7</v>
      </c>
      <c r="T13" s="7">
        <f t="shared" si="2"/>
        <v>507</v>
      </c>
    </row>
    <row r="14" spans="2:23" x14ac:dyDescent="0.25">
      <c r="B14" s="7" t="str">
        <f>TEXT($B$11,0) &amp; "+ 5 + 10"</f>
        <v>Stem: Integrated ----- Alloy Aerobar: + 5 + 10</v>
      </c>
      <c r="C14" s="7">
        <f t="shared" si="3"/>
        <v>64</v>
      </c>
      <c r="D14" s="7">
        <f>D11+15</f>
        <v>109</v>
      </c>
      <c r="E14" s="7" t="s">
        <v>102</v>
      </c>
      <c r="F14" s="7" t="str">
        <f>IF(E14="N/A","Stem Bolts: N/A -----",TEXT($E$10,0)&amp;" "&amp;TEXT(E14,0)&amp;"mm -----")</f>
        <v>Stem Bolts: N/A -----</v>
      </c>
      <c r="G14" s="7">
        <v>35</v>
      </c>
      <c r="H14" s="7" t="s">
        <v>102</v>
      </c>
      <c r="I14" s="7" t="str">
        <f>IF(AND(G14="N/A",H14="N/A"),TEXT($G$9,0)&amp;" "&amp;TEXT($G$10,0)&amp;" "&amp;G14&amp;"; "&amp;TEXT($H$10,0)&amp;" "&amp;H14&amp;" ",IF(H14="N/A",TEXT($G$9,0)&amp;" "&amp;TEXT($G$10,0)&amp;" "&amp;G14&amp;"mm; "&amp;TEXT($H$10,0)&amp;" "&amp;H14&amp;" ",TEXT($G$9,0)&amp;" "&amp;TEXT($G$10,0)&amp;" "&amp;G14&amp;"mm; "&amp;TEXT($H$10,0)&amp;" "&amp;H14&amp;"mm "))</f>
        <v xml:space="preserve">Aerobar Bolts: Top 35mm; Bottom N/A </v>
      </c>
      <c r="S14" s="9" t="s">
        <v>76</v>
      </c>
    </row>
    <row r="15" spans="2:23" x14ac:dyDescent="0.25">
      <c r="B15" s="7" t="str">
        <f>TEXT($B$11,0) &amp; "+ 20"</f>
        <v>Stem: Integrated ----- Alloy Aerobar: + 20</v>
      </c>
      <c r="C15" s="7">
        <f t="shared" si="3"/>
        <v>64</v>
      </c>
      <c r="D15" s="7">
        <f>D11+20</f>
        <v>114</v>
      </c>
      <c r="E15" s="7" t="s">
        <v>102</v>
      </c>
      <c r="F15" s="7" t="str">
        <f>IF(E15="N/A","Stem Bolts: N/A -----",TEXT($E$10,0)&amp;" "&amp;TEXT(E15,0)&amp;"mm -----")</f>
        <v>Stem Bolts: N/A -----</v>
      </c>
      <c r="G15" s="7">
        <v>20</v>
      </c>
      <c r="H15" s="7">
        <v>15</v>
      </c>
      <c r="I15" s="7" t="str">
        <f t="shared" ref="I15:I40" si="4">IF(AND(G15="N/A",H15="N/A"),TEXT($G$9,0)&amp;" "&amp;TEXT($G$10,0)&amp;" "&amp;G15&amp;"; "&amp;TEXT($H$10,0)&amp;" "&amp;H15&amp;" ",IF(H15="N/A",TEXT($G$9,0)&amp;" "&amp;TEXT($G$10,0)&amp;" "&amp;G15&amp;"mm; "&amp;TEXT($H$10,0)&amp;" "&amp;H15&amp;" ",TEXT($G$9,0)&amp;" "&amp;TEXT($G$10,0)&amp;" "&amp;G15&amp;"mm; "&amp;TEXT($H$10,0)&amp;" "&amp;H15&amp;"mm "))</f>
        <v xml:space="preserve">Aerobar Bolts: Top 20mm; Bottom 15mm </v>
      </c>
      <c r="S15" s="7" t="s">
        <v>3</v>
      </c>
      <c r="T15" s="7">
        <f>ROUND(T9/5,0)*5</f>
        <v>445</v>
      </c>
    </row>
    <row r="16" spans="2:23" x14ac:dyDescent="0.25">
      <c r="B16" s="7" t="str">
        <f>TEXT($B$11,0) &amp; "+ 20 + 5 "</f>
        <v xml:space="preserve">Stem: Integrated ----- Alloy Aerobar: + 20 + 5 </v>
      </c>
      <c r="C16" s="7">
        <f t="shared" si="3"/>
        <v>64</v>
      </c>
      <c r="D16" s="7">
        <f>D11+25</f>
        <v>119</v>
      </c>
      <c r="E16" s="7" t="s">
        <v>102</v>
      </c>
      <c r="F16" s="7" t="str">
        <f t="shared" ref="F16:F40" si="5">IF(E16="N/A","Stem Bolts: N/A -----",TEXT($E$10,0)&amp;" "&amp;TEXT(E16,0)&amp;"mm -----")</f>
        <v>Stem Bolts: N/A -----</v>
      </c>
      <c r="G16" s="7">
        <v>25</v>
      </c>
      <c r="H16" s="7">
        <v>15</v>
      </c>
      <c r="I16" s="7" t="str">
        <f t="shared" si="4"/>
        <v xml:space="preserve">Aerobar Bolts: Top 25mm; Bottom 15mm </v>
      </c>
      <c r="S16" s="7" t="s">
        <v>4</v>
      </c>
      <c r="T16" s="7">
        <f t="shared" ref="T16:T19" si="6">ROUND(T10/5,0)*5</f>
        <v>460</v>
      </c>
    </row>
    <row r="17" spans="2:20" x14ac:dyDescent="0.25">
      <c r="B17" s="7" t="str">
        <f>TEXT($B$11,0) &amp; "+ 20 + bridge"</f>
        <v>Stem: Integrated ----- Alloy Aerobar: + 20 + bridge</v>
      </c>
      <c r="C17" s="7">
        <f t="shared" si="3"/>
        <v>64</v>
      </c>
      <c r="D17" s="7">
        <f>D11+25</f>
        <v>119</v>
      </c>
      <c r="E17" s="7" t="s">
        <v>102</v>
      </c>
      <c r="F17" s="7" t="str">
        <f t="shared" si="5"/>
        <v>Stem Bolts: N/A -----</v>
      </c>
      <c r="G17" s="7">
        <v>25</v>
      </c>
      <c r="H17" s="7">
        <v>15</v>
      </c>
      <c r="I17" s="7" t="str">
        <f t="shared" si="4"/>
        <v xml:space="preserve">Aerobar Bolts: Top 25mm; Bottom 15mm </v>
      </c>
      <c r="S17" s="7" t="s">
        <v>5</v>
      </c>
      <c r="T17" s="7">
        <f t="shared" si="6"/>
        <v>470</v>
      </c>
    </row>
    <row r="18" spans="2:20" x14ac:dyDescent="0.25">
      <c r="B18" s="7" t="str">
        <f>TEXT($B$11,0) &amp; "+ 20 + bridge + 5"</f>
        <v>Stem: Integrated ----- Alloy Aerobar: + 20 + bridge + 5</v>
      </c>
      <c r="C18" s="7">
        <f t="shared" si="3"/>
        <v>64</v>
      </c>
      <c r="D18" s="7">
        <f>D11+30</f>
        <v>124</v>
      </c>
      <c r="E18" s="7" t="s">
        <v>102</v>
      </c>
      <c r="F18" s="7" t="str">
        <f t="shared" si="5"/>
        <v>Stem Bolts: N/A -----</v>
      </c>
      <c r="G18" s="7">
        <v>25</v>
      </c>
      <c r="H18" s="7">
        <v>15</v>
      </c>
      <c r="I18" s="7" t="str">
        <f t="shared" si="4"/>
        <v xml:space="preserve">Aerobar Bolts: Top 25mm; Bottom 15mm </v>
      </c>
      <c r="S18" s="7" t="s">
        <v>6</v>
      </c>
      <c r="T18" s="7">
        <f t="shared" si="6"/>
        <v>490</v>
      </c>
    </row>
    <row r="19" spans="2:20" x14ac:dyDescent="0.25">
      <c r="B19" s="7" t="str">
        <f>TEXT($B$11,0) &amp; "+ 30"</f>
        <v>Stem: Integrated ----- Alloy Aerobar: + 30</v>
      </c>
      <c r="C19" s="7">
        <f t="shared" si="3"/>
        <v>64</v>
      </c>
      <c r="D19" s="7">
        <f>D11+30</f>
        <v>124</v>
      </c>
      <c r="E19" s="7" t="s">
        <v>102</v>
      </c>
      <c r="F19" s="7" t="str">
        <f t="shared" si="5"/>
        <v>Stem Bolts: N/A -----</v>
      </c>
      <c r="G19" s="7">
        <v>25</v>
      </c>
      <c r="H19" s="7">
        <v>15</v>
      </c>
      <c r="I19" s="7" t="str">
        <f>IF(AND(G19="N/A",H19="N/A"),TEXT($G$9,0)&amp;" "&amp;TEXT($G$10,0)&amp;" "&amp;G19&amp;"; "&amp;TEXT($H$10,0)&amp;" "&amp;H19&amp;" ",IF(H19="N/A",TEXT($G$9,0)&amp;" "&amp;TEXT($G$10,0)&amp;" "&amp;G19&amp;"mm; "&amp;TEXT($H$10,0)&amp;" "&amp;H19&amp;" ",TEXT($G$9,0)&amp;" "&amp;TEXT($G$10,0)&amp;" "&amp;G19&amp;"mm; "&amp;TEXT($H$10,0)&amp;" "&amp;H19&amp;"mm "))</f>
        <v xml:space="preserve">Aerobar Bolts: Top 25mm; Bottom 15mm </v>
      </c>
      <c r="S19" s="7" t="s">
        <v>7</v>
      </c>
      <c r="T19" s="7">
        <f t="shared" si="6"/>
        <v>505</v>
      </c>
    </row>
    <row r="20" spans="2:20" x14ac:dyDescent="0.25">
      <c r="B20" s="7" t="str">
        <f>TEXT($B$11,0) &amp; "+ 30 + bridge"</f>
        <v>Stem: Integrated ----- Alloy Aerobar: + 30 + bridge</v>
      </c>
      <c r="C20" s="7">
        <f t="shared" si="3"/>
        <v>64</v>
      </c>
      <c r="D20" s="7">
        <f>D11+35</f>
        <v>129</v>
      </c>
      <c r="E20" s="7" t="s">
        <v>102</v>
      </c>
      <c r="F20" s="7" t="str">
        <f t="shared" si="5"/>
        <v>Stem Bolts: N/A -----</v>
      </c>
      <c r="G20" s="7">
        <v>30</v>
      </c>
      <c r="H20" s="7">
        <v>15</v>
      </c>
      <c r="I20" s="7" t="str">
        <f t="shared" si="4"/>
        <v xml:space="preserve">Aerobar Bolts: Top 30mm; Bottom 15mm </v>
      </c>
      <c r="S20" s="9" t="s">
        <v>73</v>
      </c>
    </row>
    <row r="21" spans="2:20" x14ac:dyDescent="0.25">
      <c r="B21" s="7" t="str">
        <f>TEXT($B$11,0) &amp; "+ 30 + bridge + 5"</f>
        <v>Stem: Integrated ----- Alloy Aerobar: + 30 + bridge + 5</v>
      </c>
      <c r="C21" s="7">
        <f t="shared" si="3"/>
        <v>64</v>
      </c>
      <c r="D21" s="7">
        <f>D11+40</f>
        <v>134</v>
      </c>
      <c r="E21" s="7" t="s">
        <v>102</v>
      </c>
      <c r="F21" s="7" t="str">
        <f t="shared" si="5"/>
        <v>Stem Bolts: N/A -----</v>
      </c>
      <c r="G21" s="7">
        <v>30</v>
      </c>
      <c r="H21" s="7">
        <v>15</v>
      </c>
      <c r="I21" s="7" t="str">
        <f t="shared" si="4"/>
        <v xml:space="preserve">Aerobar Bolts: Top 30mm; Bottom 15mm </v>
      </c>
      <c r="S21" s="7" t="s">
        <v>3</v>
      </c>
      <c r="T21" s="7">
        <f>T15+$W$3</f>
        <v>415</v>
      </c>
    </row>
    <row r="22" spans="2:20" x14ac:dyDescent="0.25">
      <c r="B22" s="7" t="str">
        <f>TEXT($B$11,0) &amp; "+ 40 + bridge"</f>
        <v>Stem: Integrated ----- Alloy Aerobar: + 40 + bridge</v>
      </c>
      <c r="C22" s="7">
        <f t="shared" si="3"/>
        <v>64</v>
      </c>
      <c r="D22" s="7">
        <f>D11+45</f>
        <v>139</v>
      </c>
      <c r="E22" s="7" t="s">
        <v>102</v>
      </c>
      <c r="F22" s="7" t="str">
        <f t="shared" si="5"/>
        <v>Stem Bolts: N/A -----</v>
      </c>
      <c r="G22" s="7">
        <v>35</v>
      </c>
      <c r="H22" s="7">
        <v>15</v>
      </c>
      <c r="I22" s="7" t="str">
        <f t="shared" si="4"/>
        <v xml:space="preserve">Aerobar Bolts: Top 35mm; Bottom 15mm </v>
      </c>
      <c r="S22" s="7" t="s">
        <v>4</v>
      </c>
      <c r="T22" s="7">
        <f t="shared" ref="T22:T25" si="7">T16+$W$3</f>
        <v>430</v>
      </c>
    </row>
    <row r="23" spans="2:20" x14ac:dyDescent="0.25">
      <c r="B23" s="7" t="str">
        <f>TEXT($B$11,0) &amp; "+ 40 + bridge + 5"</f>
        <v>Stem: Integrated ----- Alloy Aerobar: + 40 + bridge + 5</v>
      </c>
      <c r="C23" s="7">
        <f t="shared" si="3"/>
        <v>64</v>
      </c>
      <c r="D23" s="7">
        <f>D11+50</f>
        <v>144</v>
      </c>
      <c r="E23" s="7" t="s">
        <v>102</v>
      </c>
      <c r="F23" s="7" t="str">
        <f t="shared" si="5"/>
        <v>Stem Bolts: N/A -----</v>
      </c>
      <c r="G23" s="7">
        <v>35</v>
      </c>
      <c r="H23" s="7">
        <v>15</v>
      </c>
      <c r="I23" s="7" t="str">
        <f t="shared" si="4"/>
        <v xml:space="preserve">Aerobar Bolts: Top 35mm; Bottom 15mm </v>
      </c>
      <c r="S23" s="7" t="s">
        <v>5</v>
      </c>
      <c r="T23" s="7">
        <f t="shared" si="7"/>
        <v>440</v>
      </c>
    </row>
    <row r="24" spans="2:20" x14ac:dyDescent="0.25">
      <c r="B24" s="7" t="str">
        <f>TEXT($B$11,0) &amp; "+ 40 + bridge + 10"</f>
        <v>Stem: Integrated ----- Alloy Aerobar: + 40 + bridge + 10</v>
      </c>
      <c r="C24" s="7">
        <f t="shared" si="3"/>
        <v>64</v>
      </c>
      <c r="D24" s="7">
        <f>D11+55</f>
        <v>149</v>
      </c>
      <c r="E24" s="7" t="s">
        <v>102</v>
      </c>
      <c r="F24" s="7" t="str">
        <f t="shared" si="5"/>
        <v>Stem Bolts: N/A -----</v>
      </c>
      <c r="G24" s="7">
        <v>35</v>
      </c>
      <c r="H24" s="7">
        <v>15</v>
      </c>
      <c r="I24" s="7" t="str">
        <f t="shared" si="4"/>
        <v xml:space="preserve">Aerobar Bolts: Top 35mm; Bottom 15mm </v>
      </c>
      <c r="S24" s="7" t="s">
        <v>6</v>
      </c>
      <c r="T24" s="7">
        <f t="shared" si="7"/>
        <v>460</v>
      </c>
    </row>
    <row r="25" spans="2:20" x14ac:dyDescent="0.25">
      <c r="B25" s="7" t="str">
        <f>TEXT($B$11,0) &amp; "+ 40 + bridge + 5 + 10"</f>
        <v>Stem: Integrated ----- Alloy Aerobar: + 40 + bridge + 5 + 10</v>
      </c>
      <c r="C25" s="7">
        <f t="shared" si="3"/>
        <v>64</v>
      </c>
      <c r="D25" s="7">
        <f>D11+60</f>
        <v>154</v>
      </c>
      <c r="E25" s="7" t="s">
        <v>102</v>
      </c>
      <c r="F25" s="7" t="str">
        <f t="shared" si="5"/>
        <v>Stem Bolts: N/A -----</v>
      </c>
      <c r="G25" s="7">
        <v>35</v>
      </c>
      <c r="H25" s="7">
        <v>25</v>
      </c>
      <c r="I25" s="7" t="str">
        <f t="shared" si="4"/>
        <v xml:space="preserve">Aerobar Bolts: Top 35mm; Bottom 25mm </v>
      </c>
      <c r="S25" s="7" t="s">
        <v>7</v>
      </c>
      <c r="T25" s="7">
        <f t="shared" si="7"/>
        <v>475</v>
      </c>
    </row>
    <row r="26" spans="2:20" x14ac:dyDescent="0.25">
      <c r="B26" s="7" t="s">
        <v>119</v>
      </c>
      <c r="C26" s="7">
        <f>$T$3</f>
        <v>64</v>
      </c>
      <c r="D26" s="7">
        <f>G5</f>
        <v>82</v>
      </c>
      <c r="E26" s="7" t="s">
        <v>102</v>
      </c>
      <c r="F26" s="7" t="str">
        <f t="shared" si="5"/>
        <v>Stem Bolts: N/A -----</v>
      </c>
      <c r="G26" s="7" t="s">
        <v>102</v>
      </c>
      <c r="H26" s="7" t="s">
        <v>102</v>
      </c>
      <c r="I26" s="7" t="str">
        <f t="shared" si="4"/>
        <v xml:space="preserve">Aerobar Bolts: Top N/A; Bottom N/A </v>
      </c>
      <c r="S26" s="9" t="s">
        <v>74</v>
      </c>
    </row>
    <row r="27" spans="2:20" x14ac:dyDescent="0.25">
      <c r="B27" s="7" t="str">
        <f>TEXT($B$26,0) &amp; "+ 5"</f>
        <v>Stem: Integrated ----- Carbon Aerobar (optional): + 5</v>
      </c>
      <c r="C27" s="7">
        <f t="shared" ref="C27:C40" si="8">$T$3</f>
        <v>64</v>
      </c>
      <c r="D27" s="7">
        <f>D26+5</f>
        <v>87</v>
      </c>
      <c r="E27" s="7" t="s">
        <v>102</v>
      </c>
      <c r="F27" s="7" t="str">
        <f t="shared" si="5"/>
        <v>Stem Bolts: N/A -----</v>
      </c>
      <c r="G27" s="7">
        <v>45</v>
      </c>
      <c r="H27" s="7" t="s">
        <v>102</v>
      </c>
      <c r="I27" s="7" t="str">
        <f t="shared" si="4"/>
        <v xml:space="preserve">Aerobar Bolts: Top 45mm; Bottom N/A </v>
      </c>
      <c r="S27" s="7" t="s">
        <v>3</v>
      </c>
      <c r="T27" s="7">
        <f>T15+$W$4</f>
        <v>495</v>
      </c>
    </row>
    <row r="28" spans="2:20" x14ac:dyDescent="0.25">
      <c r="B28" s="7" t="str">
        <f>TEXT($B$26,0) &amp; "+ 10"</f>
        <v>Stem: Integrated ----- Carbon Aerobar (optional): + 10</v>
      </c>
      <c r="C28" s="7">
        <f t="shared" si="8"/>
        <v>64</v>
      </c>
      <c r="D28" s="7">
        <f>D26+10</f>
        <v>92</v>
      </c>
      <c r="E28" s="7" t="s">
        <v>102</v>
      </c>
      <c r="F28" s="7" t="str">
        <f t="shared" si="5"/>
        <v>Stem Bolts: N/A -----</v>
      </c>
      <c r="G28" s="7">
        <v>50</v>
      </c>
      <c r="H28" s="7" t="s">
        <v>102</v>
      </c>
      <c r="I28" s="7" t="str">
        <f t="shared" si="4"/>
        <v xml:space="preserve">Aerobar Bolts: Top 50mm; Bottom N/A </v>
      </c>
      <c r="S28" s="7" t="s">
        <v>4</v>
      </c>
      <c r="T28" s="7">
        <f t="shared" ref="T28:T31" si="9">T16+$W$4</f>
        <v>510</v>
      </c>
    </row>
    <row r="29" spans="2:20" x14ac:dyDescent="0.25">
      <c r="B29" s="7" t="str">
        <f>TEXT($B$26,0) &amp; "+ 5 + 10"</f>
        <v>Stem: Integrated ----- Carbon Aerobar (optional): + 5 + 10</v>
      </c>
      <c r="C29" s="7">
        <f t="shared" si="8"/>
        <v>64</v>
      </c>
      <c r="D29" s="7">
        <f>D26+15</f>
        <v>97</v>
      </c>
      <c r="E29" s="7" t="s">
        <v>102</v>
      </c>
      <c r="F29" s="7" t="str">
        <f t="shared" si="5"/>
        <v>Stem Bolts: N/A -----</v>
      </c>
      <c r="G29" s="7">
        <v>55</v>
      </c>
      <c r="H29" s="7" t="s">
        <v>102</v>
      </c>
      <c r="I29" s="7" t="str">
        <f t="shared" si="4"/>
        <v xml:space="preserve">Aerobar Bolts: Top 55mm; Bottom N/A </v>
      </c>
      <c r="S29" s="7" t="s">
        <v>5</v>
      </c>
      <c r="T29" s="7">
        <f t="shared" si="9"/>
        <v>520</v>
      </c>
    </row>
    <row r="30" spans="2:20" x14ac:dyDescent="0.25">
      <c r="B30" s="7" t="str">
        <f>TEXT($B$26,0) &amp; "+ 20"</f>
        <v>Stem: Integrated ----- Carbon Aerobar (optional): + 20</v>
      </c>
      <c r="C30" s="7">
        <f t="shared" si="8"/>
        <v>64</v>
      </c>
      <c r="D30" s="7">
        <f>D26+20</f>
        <v>102</v>
      </c>
      <c r="E30" s="7" t="s">
        <v>102</v>
      </c>
      <c r="F30" s="7" t="str">
        <f t="shared" si="5"/>
        <v>Stem Bolts: N/A -----</v>
      </c>
      <c r="G30" s="7">
        <v>20</v>
      </c>
      <c r="H30" s="7">
        <v>30</v>
      </c>
      <c r="I30" s="7" t="str">
        <f t="shared" si="4"/>
        <v xml:space="preserve">Aerobar Bolts: Top 20mm; Bottom 30mm </v>
      </c>
      <c r="S30" s="7" t="s">
        <v>6</v>
      </c>
      <c r="T30" s="7">
        <f t="shared" si="9"/>
        <v>540</v>
      </c>
    </row>
    <row r="31" spans="2:20" x14ac:dyDescent="0.25">
      <c r="B31" s="7" t="str">
        <f>TEXT($B$26,0) &amp; "+ 20 + 5 "</f>
        <v xml:space="preserve">Stem: Integrated ----- Carbon Aerobar (optional): + 20 + 5 </v>
      </c>
      <c r="C31" s="7">
        <f t="shared" si="8"/>
        <v>64</v>
      </c>
      <c r="D31" s="7">
        <f>D26+25</f>
        <v>107</v>
      </c>
      <c r="E31" s="7" t="s">
        <v>102</v>
      </c>
      <c r="F31" s="7" t="str">
        <f t="shared" si="5"/>
        <v>Stem Bolts: N/A -----</v>
      </c>
      <c r="G31" s="7">
        <v>25</v>
      </c>
      <c r="H31" s="7">
        <v>30</v>
      </c>
      <c r="I31" s="7" t="str">
        <f t="shared" si="4"/>
        <v xml:space="preserve">Aerobar Bolts: Top 25mm; Bottom 30mm </v>
      </c>
      <c r="S31" s="7" t="s">
        <v>7</v>
      </c>
      <c r="T31" s="7">
        <f t="shared" si="9"/>
        <v>555</v>
      </c>
    </row>
    <row r="32" spans="2:20" x14ac:dyDescent="0.25">
      <c r="B32" s="7" t="str">
        <f>TEXT($B$26,0) &amp; "+ 20 + bridge"</f>
        <v>Stem: Integrated ----- Carbon Aerobar (optional): + 20 + bridge</v>
      </c>
      <c r="C32" s="7">
        <f t="shared" si="8"/>
        <v>64</v>
      </c>
      <c r="D32" s="7">
        <f>D26+25</f>
        <v>107</v>
      </c>
      <c r="E32" s="7" t="s">
        <v>102</v>
      </c>
      <c r="F32" s="7" t="str">
        <f t="shared" si="5"/>
        <v>Stem Bolts: N/A -----</v>
      </c>
      <c r="G32" s="7">
        <v>25</v>
      </c>
      <c r="H32" s="7">
        <v>30</v>
      </c>
      <c r="I32" s="7" t="str">
        <f t="shared" si="4"/>
        <v xml:space="preserve">Aerobar Bolts: Top 25mm; Bottom 30mm </v>
      </c>
    </row>
    <row r="33" spans="2:9" x14ac:dyDescent="0.25">
      <c r="B33" s="7" t="str">
        <f>TEXT($B$26,0) &amp; "+ 20 + bridge + 5"</f>
        <v>Stem: Integrated ----- Carbon Aerobar (optional): + 20 + bridge + 5</v>
      </c>
      <c r="C33" s="7">
        <f t="shared" si="8"/>
        <v>64</v>
      </c>
      <c r="D33" s="7">
        <f>D26+30</f>
        <v>112</v>
      </c>
      <c r="E33" s="7" t="s">
        <v>102</v>
      </c>
      <c r="F33" s="7" t="str">
        <f t="shared" si="5"/>
        <v>Stem Bolts: N/A -----</v>
      </c>
      <c r="G33" s="7">
        <v>25</v>
      </c>
      <c r="H33" s="7">
        <v>30</v>
      </c>
      <c r="I33" s="7" t="str">
        <f t="shared" si="4"/>
        <v xml:space="preserve">Aerobar Bolts: Top 25mm; Bottom 30mm </v>
      </c>
    </row>
    <row r="34" spans="2:9" x14ac:dyDescent="0.25">
      <c r="B34" s="7" t="str">
        <f>TEXT($B$26,0) &amp; "+ 30"</f>
        <v>Stem: Integrated ----- Carbon Aerobar (optional): + 30</v>
      </c>
      <c r="C34" s="7">
        <f t="shared" si="8"/>
        <v>64</v>
      </c>
      <c r="D34" s="7">
        <f>D26+30</f>
        <v>112</v>
      </c>
      <c r="E34" s="7" t="s">
        <v>102</v>
      </c>
      <c r="F34" s="7" t="str">
        <f t="shared" si="5"/>
        <v>Stem Bolts: N/A -----</v>
      </c>
      <c r="G34" s="7">
        <v>30</v>
      </c>
      <c r="H34" s="7">
        <v>30</v>
      </c>
      <c r="I34" s="7" t="str">
        <f t="shared" si="4"/>
        <v xml:space="preserve">Aerobar Bolts: Top 30mm; Bottom 30mm </v>
      </c>
    </row>
    <row r="35" spans="2:9" x14ac:dyDescent="0.25">
      <c r="B35" s="7" t="str">
        <f>TEXT($B$26,0) &amp; "+ 30 + bridge"</f>
        <v>Stem: Integrated ----- Carbon Aerobar (optional): + 30 + bridge</v>
      </c>
      <c r="C35" s="7">
        <f t="shared" si="8"/>
        <v>64</v>
      </c>
      <c r="D35" s="7">
        <f>D26+35</f>
        <v>117</v>
      </c>
      <c r="E35" s="7" t="s">
        <v>102</v>
      </c>
      <c r="F35" s="7" t="str">
        <f t="shared" si="5"/>
        <v>Stem Bolts: N/A -----</v>
      </c>
      <c r="G35" s="7">
        <v>30</v>
      </c>
      <c r="H35" s="7">
        <v>30</v>
      </c>
      <c r="I35" s="7" t="str">
        <f t="shared" si="4"/>
        <v xml:space="preserve">Aerobar Bolts: Top 30mm; Bottom 30mm </v>
      </c>
    </row>
    <row r="36" spans="2:9" x14ac:dyDescent="0.25">
      <c r="B36" s="7" t="str">
        <f>TEXT($B$26,0) &amp; "+ 30 + bridge + 5"</f>
        <v>Stem: Integrated ----- Carbon Aerobar (optional): + 30 + bridge + 5</v>
      </c>
      <c r="C36" s="7">
        <f t="shared" si="8"/>
        <v>64</v>
      </c>
      <c r="D36" s="7">
        <f>D26+40</f>
        <v>122</v>
      </c>
      <c r="E36" s="7" t="s">
        <v>102</v>
      </c>
      <c r="F36" s="7" t="str">
        <f t="shared" si="5"/>
        <v>Stem Bolts: N/A -----</v>
      </c>
      <c r="G36" s="7">
        <v>35</v>
      </c>
      <c r="H36" s="7">
        <v>30</v>
      </c>
      <c r="I36" s="7" t="str">
        <f t="shared" si="4"/>
        <v xml:space="preserve">Aerobar Bolts: Top 35mm; Bottom 30mm </v>
      </c>
    </row>
    <row r="37" spans="2:9" x14ac:dyDescent="0.25">
      <c r="B37" s="7" t="str">
        <f>TEXT($B$26,0) &amp; "+ 40 + bridge"</f>
        <v>Stem: Integrated ----- Carbon Aerobar (optional): + 40 + bridge</v>
      </c>
      <c r="C37" s="7">
        <f t="shared" si="8"/>
        <v>64</v>
      </c>
      <c r="D37" s="7">
        <f>D26+45</f>
        <v>127</v>
      </c>
      <c r="E37" s="7" t="s">
        <v>102</v>
      </c>
      <c r="F37" s="7" t="str">
        <f t="shared" si="5"/>
        <v>Stem Bolts: N/A -----</v>
      </c>
      <c r="G37" s="7">
        <v>35</v>
      </c>
      <c r="H37" s="7">
        <v>30</v>
      </c>
      <c r="I37" s="7" t="str">
        <f t="shared" si="4"/>
        <v xml:space="preserve">Aerobar Bolts: Top 35mm; Bottom 30mm </v>
      </c>
    </row>
    <row r="38" spans="2:9" x14ac:dyDescent="0.25">
      <c r="B38" s="7" t="str">
        <f>TEXT($B$26,0) &amp; "+ 40 + bridge + 5"</f>
        <v>Stem: Integrated ----- Carbon Aerobar (optional): + 40 + bridge + 5</v>
      </c>
      <c r="C38" s="7">
        <f t="shared" si="8"/>
        <v>64</v>
      </c>
      <c r="D38" s="7">
        <f>D26+50</f>
        <v>132</v>
      </c>
      <c r="E38" s="7" t="s">
        <v>102</v>
      </c>
      <c r="F38" s="7" t="str">
        <f t="shared" si="5"/>
        <v>Stem Bolts: N/A -----</v>
      </c>
      <c r="G38" s="7">
        <v>35</v>
      </c>
      <c r="H38" s="7">
        <v>30</v>
      </c>
      <c r="I38" s="7" t="str">
        <f t="shared" si="4"/>
        <v xml:space="preserve">Aerobar Bolts: Top 35mm; Bottom 30mm </v>
      </c>
    </row>
    <row r="39" spans="2:9" x14ac:dyDescent="0.25">
      <c r="B39" s="7" t="str">
        <f>TEXT($B$26,0) &amp; "+ 40 + bridge + 10"</f>
        <v>Stem: Integrated ----- Carbon Aerobar (optional): + 40 + bridge + 10</v>
      </c>
      <c r="C39" s="7">
        <f t="shared" si="8"/>
        <v>64</v>
      </c>
      <c r="D39" s="7">
        <f>D26+55</f>
        <v>137</v>
      </c>
      <c r="E39" s="7" t="s">
        <v>102</v>
      </c>
      <c r="F39" s="7" t="str">
        <f t="shared" si="5"/>
        <v>Stem Bolts: N/A -----</v>
      </c>
      <c r="G39" s="7">
        <v>40</v>
      </c>
      <c r="H39" s="7">
        <v>30</v>
      </c>
      <c r="I39" s="7" t="str">
        <f t="shared" si="4"/>
        <v xml:space="preserve">Aerobar Bolts: Top 40mm; Bottom 30mm </v>
      </c>
    </row>
    <row r="40" spans="2:9" x14ac:dyDescent="0.25">
      <c r="B40" s="7" t="str">
        <f>TEXT($B$26,0) &amp; "+ 40 + bridge + 5 + 10"</f>
        <v>Stem: Integrated ----- Carbon Aerobar (optional): + 40 + bridge + 5 + 10</v>
      </c>
      <c r="C40" s="7">
        <f t="shared" si="8"/>
        <v>64</v>
      </c>
      <c r="D40" s="7">
        <f>D26+60</f>
        <v>142</v>
      </c>
      <c r="E40" s="7" t="s">
        <v>102</v>
      </c>
      <c r="F40" s="7" t="str">
        <f t="shared" si="5"/>
        <v>Stem Bolts: N/A -----</v>
      </c>
      <c r="G40" s="7">
        <v>45</v>
      </c>
      <c r="H40" s="7">
        <v>30</v>
      </c>
      <c r="I40" s="7" t="str">
        <f t="shared" si="4"/>
        <v xml:space="preserve">Aerobar Bolts: Top 45mm; Bottom 30mm 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2" tint="-0.499984740745262"/>
  </sheetPr>
  <dimension ref="C3:AH382"/>
  <sheetViews>
    <sheetView zoomScale="55" zoomScaleNormal="55" workbookViewId="0">
      <selection activeCell="M58" sqref="M58"/>
    </sheetView>
  </sheetViews>
  <sheetFormatPr defaultRowHeight="15" x14ac:dyDescent="0.25"/>
  <cols>
    <col min="4" max="4" width="78.28515625" bestFit="1" customWidth="1"/>
    <col min="5" max="5" width="13.28515625" customWidth="1"/>
    <col min="6" max="6" width="7.28515625" customWidth="1"/>
    <col min="7" max="7" width="5.85546875" customWidth="1"/>
    <col min="8" max="8" width="13" customWidth="1"/>
    <col min="9" max="9" width="12.5703125" customWidth="1"/>
    <col min="10" max="10" width="62" bestFit="1" customWidth="1"/>
    <col min="11" max="11" width="14.7109375" bestFit="1" customWidth="1"/>
    <col min="12" max="12" width="80.28515625" customWidth="1"/>
    <col min="13" max="13" width="63.5703125" bestFit="1" customWidth="1"/>
    <col min="14" max="14" width="77.7109375" bestFit="1" customWidth="1"/>
    <col min="15" max="15" width="79.5703125" bestFit="1" customWidth="1"/>
    <col min="16" max="16" width="81.42578125" bestFit="1" customWidth="1"/>
    <col min="17" max="17" width="82.42578125" bestFit="1" customWidth="1"/>
    <col min="18" max="18" width="4.5703125" customWidth="1"/>
    <col min="20" max="20" width="18.5703125" bestFit="1" customWidth="1"/>
    <col min="21" max="21" width="11.85546875" customWidth="1"/>
    <col min="23" max="23" width="10.7109375" customWidth="1"/>
    <col min="26" max="26" width="17.5703125" customWidth="1"/>
    <col min="29" max="29" width="12.42578125" customWidth="1"/>
    <col min="31" max="31" width="10.7109375" customWidth="1"/>
    <col min="32" max="32" width="14.28515625" customWidth="1"/>
  </cols>
  <sheetData>
    <row r="3" spans="3:34" x14ac:dyDescent="0.25">
      <c r="E3" t="s">
        <v>2</v>
      </c>
      <c r="F3" t="s">
        <v>1</v>
      </c>
      <c r="H3" t="s">
        <v>43</v>
      </c>
      <c r="I3" t="s">
        <v>53</v>
      </c>
      <c r="T3" t="s">
        <v>75</v>
      </c>
    </row>
    <row r="4" spans="3:34" x14ac:dyDescent="0.25">
      <c r="D4" t="s">
        <v>13</v>
      </c>
      <c r="E4">
        <f>Input!C12</f>
        <v>470</v>
      </c>
      <c r="F4">
        <f>Input!E12</f>
        <v>590</v>
      </c>
      <c r="H4">
        <f>Input!G12</f>
        <v>720</v>
      </c>
      <c r="I4" t="e">
        <f>Input!#REF!</f>
        <v>#REF!</v>
      </c>
      <c r="T4" t="s">
        <v>35</v>
      </c>
      <c r="U4" t="s">
        <v>21</v>
      </c>
      <c r="V4" t="s">
        <v>22</v>
      </c>
      <c r="W4" t="s">
        <v>21</v>
      </c>
      <c r="X4" t="s">
        <v>22</v>
      </c>
      <c r="Z4" t="s">
        <v>40</v>
      </c>
      <c r="AA4" t="s">
        <v>42</v>
      </c>
      <c r="AB4" t="s">
        <v>41</v>
      </c>
      <c r="AC4" t="s">
        <v>44</v>
      </c>
      <c r="AE4" t="s">
        <v>54</v>
      </c>
      <c r="AF4" t="s">
        <v>42</v>
      </c>
      <c r="AG4" t="s">
        <v>41</v>
      </c>
      <c r="AH4" t="s">
        <v>44</v>
      </c>
    </row>
    <row r="5" spans="3:34" x14ac:dyDescent="0.25">
      <c r="D5" t="s">
        <v>14</v>
      </c>
      <c r="E5">
        <f xml:space="preserve"> ROUND(E4/5,0)*5</f>
        <v>470</v>
      </c>
      <c r="F5">
        <f xml:space="preserve"> ROUND(F4/5,0)*5</f>
        <v>590</v>
      </c>
      <c r="T5" t="s">
        <v>3</v>
      </c>
      <c r="U5">
        <f>'Data - IAx'!T21</f>
        <v>415</v>
      </c>
      <c r="V5">
        <f>'Data - IAx'!T27</f>
        <v>495</v>
      </c>
      <c r="W5">
        <f>IF($E$5&gt;=U5,1,0)</f>
        <v>1</v>
      </c>
      <c r="X5">
        <f>IF($E$5&lt;=V5,1,0)</f>
        <v>1</v>
      </c>
      <c r="Z5" t="s">
        <v>3</v>
      </c>
      <c r="AA5">
        <f>'Data - IA'!J4</f>
        <v>568</v>
      </c>
      <c r="AB5">
        <f>'Data - IA'!K4</f>
        <v>763</v>
      </c>
      <c r="AC5">
        <f>IF(AND(AA5&lt;=$H$4,AB5&gt;=$H$4),1,0)</f>
        <v>1</v>
      </c>
      <c r="AE5" t="s">
        <v>3</v>
      </c>
      <c r="AF5">
        <f>SIN(RADIANS(90-'Data - IA'!$O5))*$H$4-'Data - IA'!O$13</f>
        <v>11.209578354346178</v>
      </c>
      <c r="AG5">
        <f>SIN(RADIANS(90-'Data - IA'!$O5))*$H$4-'Data - IA'!P$13</f>
        <v>-28.790421645653822</v>
      </c>
      <c r="AH5" t="e">
        <f>IF(AND($I$4&lt;=AF5,$I$4&gt;=AG5),1,0)</f>
        <v>#REF!</v>
      </c>
    </row>
    <row r="6" spans="3:34" x14ac:dyDescent="0.25">
      <c r="O6" s="1" t="s">
        <v>24</v>
      </c>
      <c r="T6" t="s">
        <v>4</v>
      </c>
      <c r="U6">
        <f>'Data - IAx'!T22</f>
        <v>430</v>
      </c>
      <c r="V6">
        <f>'Data - IAx'!T28</f>
        <v>510</v>
      </c>
      <c r="W6">
        <f>IF($E$5&gt;=U6,1,0)</f>
        <v>1</v>
      </c>
      <c r="X6">
        <f>IF($E$5&lt;=V6,1,0)</f>
        <v>1</v>
      </c>
      <c r="Z6" t="s">
        <v>4</v>
      </c>
      <c r="AA6">
        <f>'Data - IA'!J5</f>
        <v>596</v>
      </c>
      <c r="AB6">
        <f>'Data - IA'!K5</f>
        <v>791</v>
      </c>
      <c r="AC6">
        <f>IF(AND(AA6&lt;=$H$4,AB6&gt;=$H$4),1,0)</f>
        <v>1</v>
      </c>
      <c r="AE6" t="s">
        <v>4</v>
      </c>
      <c r="AF6">
        <f>SIN(RADIANS(90-'Data - IA'!$O6))*$H$4-'Data - IA'!O$13</f>
        <v>17.382476671112272</v>
      </c>
      <c r="AG6">
        <f>SIN(RADIANS(90-'Data - IA'!$O6))*$H$4-'Data - IA'!P$13</f>
        <v>-22.617523328887728</v>
      </c>
      <c r="AH6" t="e">
        <f>IF(AND($I$4&lt;=AF6,$I$4&gt;=AG6),1,0)</f>
        <v>#REF!</v>
      </c>
    </row>
    <row r="7" spans="3:34" x14ac:dyDescent="0.25">
      <c r="E7" t="s">
        <v>19</v>
      </c>
      <c r="F7">
        <v>30</v>
      </c>
      <c r="G7">
        <v>40</v>
      </c>
      <c r="H7" t="s">
        <v>31</v>
      </c>
      <c r="I7" t="s">
        <v>45</v>
      </c>
      <c r="K7" t="s">
        <v>58</v>
      </c>
      <c r="L7" s="1" t="s">
        <v>23</v>
      </c>
      <c r="M7" s="1" t="s">
        <v>59</v>
      </c>
      <c r="N7" s="1" t="s">
        <v>30</v>
      </c>
      <c r="O7" s="1" t="s">
        <v>25</v>
      </c>
      <c r="P7" s="1" t="s">
        <v>26</v>
      </c>
      <c r="Q7" s="1" t="s">
        <v>27</v>
      </c>
      <c r="T7" t="s">
        <v>5</v>
      </c>
      <c r="U7">
        <f>'Data - IAx'!T23</f>
        <v>440</v>
      </c>
      <c r="V7">
        <f>'Data - IAx'!T29</f>
        <v>520</v>
      </c>
      <c r="W7">
        <f>IF($E$5&gt;=U7,1,0)</f>
        <v>1</v>
      </c>
      <c r="X7">
        <f>IF($E$5&lt;=V7,1,0)</f>
        <v>1</v>
      </c>
      <c r="Z7" t="s">
        <v>5</v>
      </c>
      <c r="AA7">
        <f>'Data - IA'!J6</f>
        <v>615</v>
      </c>
      <c r="AB7">
        <f>'Data - IA'!K6</f>
        <v>810</v>
      </c>
      <c r="AC7">
        <f>IF(AND(AA7&lt;=$H$4,AB7&gt;=$H$4),1,0)</f>
        <v>1</v>
      </c>
      <c r="AE7" t="s">
        <v>5</v>
      </c>
      <c r="AF7">
        <f>SIN(RADIANS(90-'Data - IA'!$O7))*$H$4-'Data - IA'!O$13</f>
        <v>23.544912780381964</v>
      </c>
      <c r="AG7">
        <f>SIN(RADIANS(90-'Data - IA'!$O7))*$H$4-'Data - IA'!P$13</f>
        <v>-16.455087219618036</v>
      </c>
      <c r="AH7" t="e">
        <f>IF(AND($I$4&lt;=AF7,$I$4&gt;=AG7),1,0)</f>
        <v>#REF!</v>
      </c>
    </row>
    <row r="8" spans="3:34" x14ac:dyDescent="0.25">
      <c r="C8" s="11">
        <f>'IAx - XL'!D9</f>
        <v>655</v>
      </c>
      <c r="D8" s="11" t="str">
        <f>'IAx - XL'!B9</f>
        <v xml:space="preserve">Frame: 58 ----- Stem: Integrated ----- Alloy Aerobar: </v>
      </c>
      <c r="E8" s="11">
        <f>$W$9*$X$9</f>
        <v>0</v>
      </c>
      <c r="F8" s="11" t="str">
        <f>IF(ISNUMBER(FIND("30",D8)),1,"")</f>
        <v/>
      </c>
      <c r="G8" s="11" t="str">
        <f>IF(ISNUMBER(FIND("40",D8)),1,"")</f>
        <v/>
      </c>
      <c r="H8" s="11">
        <f t="shared" ref="H8:H22" si="0">$E$4-$U$16</f>
        <v>-37</v>
      </c>
      <c r="I8" s="11">
        <f t="shared" ref="I8:I97" si="1">$AC$9</f>
        <v>1</v>
      </c>
      <c r="J8" s="11" t="str">
        <f>'IAx - XL'!G9</f>
        <v xml:space="preserve">Stem Bolts: N/A ----- Aerobar Bolts: Top 20mm; Bottom N/A </v>
      </c>
      <c r="K8" s="11">
        <v>1</v>
      </c>
      <c r="L8" t="str">
        <f t="array" ref="L8">INDEX($C$8:$D$382, SMALL(IF($C$8:$C$382=$F$5, ROW($C$8:$C$382)-MIN(ROW($C$8:$C$382))+1), ROW(1:1)),2)</f>
        <v>Frame: 51 ----- Stem: Integrated ----- Alloy Aerobar: + 5</v>
      </c>
      <c r="M8" t="str">
        <f>IFERROR(IF(AND(VLOOKUP(L8,$D$8:$K$382,2,FALSE)=1,VLOOKUP(L8,$D$8:$K$382,6,FALSE)=1,VLOOKUP(L8,$D$8:$K$382,8,FALSE)=1),L8,""),"")</f>
        <v>Frame: 51 ----- Stem: Integrated ----- Alloy Aerobar: + 5</v>
      </c>
      <c r="N8" t="str">
        <f>IF(M8="","",TEXT(M8,0)&amp;"  with reach:"&amp;IFERROR(VLOOKUP(M8,$D$8:$H$382,5,FALSE),""))</f>
        <v>Frame: 51 ----- Stem: Integrated ----- Alloy Aerobar: + 5  with reach:11</v>
      </c>
      <c r="O8" t="str">
        <f>IFERROR(IF(AND(VLOOKUP(M8,$D$8:$G$382,3,FALSE)="",VLOOKUP(M8,$D$8:$G$382,4,FALSE)=""),M8,""),"")</f>
        <v>Frame: 51 ----- Stem: Integrated ----- Alloy Aerobar: + 5</v>
      </c>
      <c r="P8" t="str">
        <f>IFERROR(IF(AND(VLOOKUP(M8,$D$8:$G$382,3,FALSE)=1,VLOOKUP(M8,$D$8:$G$382,4,FALSE)=""),M8,""),"")</f>
        <v/>
      </c>
      <c r="Q8" t="str">
        <f>IFERROR(IF(VLOOKUP(M8,$D$8:$G$382,4,FALSE)=1,M8,""),"")</f>
        <v/>
      </c>
      <c r="T8" t="s">
        <v>6</v>
      </c>
      <c r="U8">
        <f>'Data - IAx'!T24</f>
        <v>460</v>
      </c>
      <c r="V8">
        <f>'Data - IAx'!T30</f>
        <v>540</v>
      </c>
      <c r="W8">
        <f>IF($E$5&gt;=U8,1,0)</f>
        <v>1</v>
      </c>
      <c r="X8">
        <f>IF($E$5&lt;=V8,1,0)</f>
        <v>1</v>
      </c>
      <c r="Z8" t="s">
        <v>6</v>
      </c>
      <c r="AA8">
        <f>'Data - IA'!J7</f>
        <v>639</v>
      </c>
      <c r="AB8">
        <f>'Data - IA'!K7</f>
        <v>834</v>
      </c>
      <c r="AC8">
        <f>IF(AND(AA8&lt;=$H$4,AB8&gt;=$H$4),1,0)</f>
        <v>1</v>
      </c>
      <c r="AE8" t="s">
        <v>6</v>
      </c>
      <c r="AF8">
        <f>SIN(RADIANS(90-'Data - IA'!$O8))*$H$4-'Data - IA'!O$13</f>
        <v>29.696417388786728</v>
      </c>
      <c r="AG8">
        <f>SIN(RADIANS(90-'Data - IA'!$O8))*$H$4-'Data - IA'!P$13</f>
        <v>-10.303582611213272</v>
      </c>
      <c r="AH8" t="e">
        <f>IF(AND($I$4&lt;=AF8,$I$4&gt;=AG8),1,0)</f>
        <v>#REF!</v>
      </c>
    </row>
    <row r="9" spans="3:34" x14ac:dyDescent="0.25">
      <c r="C9" s="11">
        <f>'IAx - XL'!D10</f>
        <v>660</v>
      </c>
      <c r="D9" s="11" t="str">
        <f>'IAx - XL'!B10</f>
        <v>Frame: 58 ----- Stem: Integrated ----- Alloy Aerobar: + 5</v>
      </c>
      <c r="E9" s="11">
        <f>$W$9*$X$9</f>
        <v>0</v>
      </c>
      <c r="F9" s="11" t="str">
        <f t="shared" ref="F9:F22" si="2">IF(ISNUMBER(FIND("30",D9)),1,"")</f>
        <v/>
      </c>
      <c r="G9" s="11" t="str">
        <f t="shared" ref="G9:G22" si="3">IF(ISNUMBER(FIND("40",D9)),1,"")</f>
        <v/>
      </c>
      <c r="H9" s="11">
        <f t="shared" si="0"/>
        <v>-37</v>
      </c>
      <c r="I9" s="11">
        <f t="shared" si="1"/>
        <v>1</v>
      </c>
      <c r="J9" s="11" t="str">
        <f>'IAx - XL'!G10</f>
        <v xml:space="preserve">Stem Bolts: N/A ----- Aerobar Bolts: Top 25mm; Bottom N/A </v>
      </c>
      <c r="K9" s="11">
        <v>1</v>
      </c>
      <c r="L9" t="str">
        <f t="array" ref="L9">INDEX($C$8:$D$382, SMALL(IF($C$8:$C$382=$F$5, ROW($C$8:$C$382)-MIN(ROW($C$8:$C$382))+1), ROW(2:2)),2)</f>
        <v>Frame: 51 ----- Stem: Integrated ----- Carbon Aerobar (optional): + 20</v>
      </c>
      <c r="M9" t="str">
        <f t="shared" ref="M9:M13" si="4">IFERROR(IF(AND(VLOOKUP(L9,$D$8:$K$382,2,FALSE)=1,VLOOKUP(L9,$D$8:$K$382,6,FALSE)=1,VLOOKUP(L9,$D$8:$K$382,8,FALSE)=1),L9,""),"")</f>
        <v>Frame: 51 ----- Stem: Integrated ----- Carbon Aerobar (optional): + 20</v>
      </c>
      <c r="N9" t="str">
        <f t="shared" ref="N9:N17" si="5">IF(M9="","",TEXT(M9,0)&amp;"  with reach:"&amp;IFERROR(VLOOKUP(M9,$D$8:$H$382,5,FALSE),""))</f>
        <v>Frame: 51 ----- Stem: Integrated ----- Carbon Aerobar (optional): + 20  with reach:11</v>
      </c>
      <c r="O9" t="str">
        <f t="shared" ref="O9:O29" si="6">IFERROR(IF(AND(VLOOKUP(M9,$D$8:$G$382,3,FALSE)="",VLOOKUP(M9,$D$8:$G$382,4,FALSE)=""),M9,""),"")</f>
        <v>Frame: 51 ----- Stem: Integrated ----- Carbon Aerobar (optional): + 20</v>
      </c>
      <c r="P9" t="str">
        <f t="shared" ref="P9:P29" si="7">IFERROR(IF(AND(VLOOKUP(M9,$D$8:$G$382,3,FALSE)=1,VLOOKUP(M9,$D$8:$G$382,4,FALSE)=""),M9,""),"")</f>
        <v/>
      </c>
      <c r="Q9" t="str">
        <f t="shared" ref="Q9:Q29" si="8">IFERROR(IF(VLOOKUP(M9,$D$8:$G$382,4,FALSE)=1,M9,""),"")</f>
        <v/>
      </c>
      <c r="T9" t="s">
        <v>7</v>
      </c>
      <c r="U9">
        <f>'Data - IAx'!T25</f>
        <v>475</v>
      </c>
      <c r="V9">
        <f>'Data - IAx'!T31</f>
        <v>555</v>
      </c>
      <c r="W9">
        <f>IF($E$5&gt;=U9,1,0)</f>
        <v>0</v>
      </c>
      <c r="X9">
        <f>IF($E$5&lt;=V9,1,0)</f>
        <v>1</v>
      </c>
      <c r="Z9" t="s">
        <v>7</v>
      </c>
      <c r="AA9">
        <f>'Data - IA'!J8</f>
        <v>664</v>
      </c>
      <c r="AB9">
        <f>'Data - IA'!K8</f>
        <v>859</v>
      </c>
      <c r="AC9">
        <f>IF(AND(AA9&lt;=$H$4,AB9&gt;=$H$4),1,0)</f>
        <v>1</v>
      </c>
      <c r="AE9" t="s">
        <v>7</v>
      </c>
      <c r="AF9">
        <f>SIN(RADIANS(90-'Data - IA'!$O9))*$H$4-'Data - IA'!O$13</f>
        <v>35.836522035434058</v>
      </c>
      <c r="AG9">
        <f>SIN(RADIANS(90-'Data - IA'!$O9))*$H$4-'Data - IA'!P$13</f>
        <v>-4.1634779645659421</v>
      </c>
      <c r="AH9" t="e">
        <f>IF(AND($I$4&lt;=AF9,$I$4&gt;=AG9),1,0)</f>
        <v>#REF!</v>
      </c>
    </row>
    <row r="10" spans="3:34" x14ac:dyDescent="0.25">
      <c r="C10" s="11">
        <f>'IAx - XL'!D11</f>
        <v>665</v>
      </c>
      <c r="D10" s="11" t="str">
        <f>'IAx - XL'!B11</f>
        <v>Frame: 58 ----- Stem: Integrated ----- Alloy Aerobar: + 10</v>
      </c>
      <c r="E10" s="11">
        <f t="shared" ref="E10:E37" si="9">$W$9*$X$9</f>
        <v>0</v>
      </c>
      <c r="F10" s="11" t="str">
        <f t="shared" si="2"/>
        <v/>
      </c>
      <c r="G10" s="11" t="str">
        <f t="shared" si="3"/>
        <v/>
      </c>
      <c r="H10" s="11">
        <f t="shared" si="0"/>
        <v>-37</v>
      </c>
      <c r="I10" s="11">
        <f t="shared" si="1"/>
        <v>1</v>
      </c>
      <c r="J10" s="11" t="str">
        <f>'IAx - XL'!G11</f>
        <v xml:space="preserve">Stem Bolts: N/A ----- Aerobar Bolts: Top 30mm; Bottom N/A </v>
      </c>
      <c r="K10" s="11">
        <v>1</v>
      </c>
      <c r="L10" t="str">
        <f t="array" ref="L10">INDEX($C$8:$D$382, SMALL(IF($C$8:$C$382=$F$5, ROW($C$8:$C$382)-MIN(ROW($C$8:$C$382))+1), ROW(3:3)),2)</f>
        <v>Frame: 48 ----- Stem: Integrated ----- Alloy Aerobar: + 20 + bridge + 5</v>
      </c>
      <c r="M10" t="str">
        <f t="shared" si="4"/>
        <v>Frame: 48 ----- Stem: Integrated ----- Alloy Aerobar: + 20 + bridge + 5</v>
      </c>
      <c r="N10" t="str">
        <f t="shared" si="5"/>
        <v>Frame: 48 ----- Stem: Integrated ----- Alloy Aerobar: + 20 + bridge + 5  with reach:26</v>
      </c>
      <c r="O10" t="str">
        <f t="shared" si="6"/>
        <v>Frame: 48 ----- Stem: Integrated ----- Alloy Aerobar: + 20 + bridge + 5</v>
      </c>
      <c r="P10" t="str">
        <f t="shared" si="7"/>
        <v/>
      </c>
      <c r="Q10" t="str">
        <f t="shared" si="8"/>
        <v/>
      </c>
    </row>
    <row r="11" spans="3:34" x14ac:dyDescent="0.25">
      <c r="C11" s="11">
        <f>'IAx - XL'!D12</f>
        <v>670</v>
      </c>
      <c r="D11" s="11" t="str">
        <f>'IAx - XL'!B12</f>
        <v>Frame: 58 ----- Stem: Integrated ----- Alloy Aerobar: + 5 + 10</v>
      </c>
      <c r="E11" s="11">
        <f t="shared" si="9"/>
        <v>0</v>
      </c>
      <c r="F11" s="11" t="str">
        <f t="shared" si="2"/>
        <v/>
      </c>
      <c r="G11" s="11" t="str">
        <f t="shared" si="3"/>
        <v/>
      </c>
      <c r="H11" s="11">
        <f t="shared" si="0"/>
        <v>-37</v>
      </c>
      <c r="I11" s="11">
        <f t="shared" si="1"/>
        <v>1</v>
      </c>
      <c r="J11" s="11" t="str">
        <f>'IAx - XL'!G12</f>
        <v xml:space="preserve">Stem Bolts: N/A ----- Aerobar Bolts: Top 35mm; Bottom N/A </v>
      </c>
      <c r="K11" s="11">
        <v>1</v>
      </c>
      <c r="L11" t="str">
        <f t="array" ref="L11">INDEX($C$8:$D$382, SMALL(IF($C$8:$C$382=$F$5, ROW($C$8:$C$382)-MIN(ROW($C$8:$C$382))+1), ROW(4:4)),2)</f>
        <v>Frame: 48 ----- Stem: Integrated ----- Alloy Aerobar: + 30</v>
      </c>
      <c r="M11" t="str">
        <f t="shared" si="4"/>
        <v>Frame: 48 ----- Stem: Integrated ----- Alloy Aerobar: + 30</v>
      </c>
      <c r="N11" t="str">
        <f t="shared" si="5"/>
        <v>Frame: 48 ----- Stem: Integrated ----- Alloy Aerobar: + 30  with reach:26</v>
      </c>
      <c r="O11" t="str">
        <f t="shared" si="6"/>
        <v/>
      </c>
      <c r="P11" t="str">
        <f t="shared" si="7"/>
        <v>Frame: 48 ----- Stem: Integrated ----- Alloy Aerobar: + 30</v>
      </c>
      <c r="Q11" t="str">
        <f t="shared" si="8"/>
        <v/>
      </c>
      <c r="T11" t="s">
        <v>32</v>
      </c>
      <c r="U11" t="s">
        <v>35</v>
      </c>
    </row>
    <row r="12" spans="3:34" x14ac:dyDescent="0.25">
      <c r="C12" s="11">
        <f>'IAx - XL'!D13</f>
        <v>675</v>
      </c>
      <c r="D12" s="11" t="str">
        <f>'IAx - XL'!B13</f>
        <v>Frame: 58 ----- Stem: Integrated ----- Alloy Aerobar: + 20</v>
      </c>
      <c r="E12" s="11">
        <f t="shared" si="9"/>
        <v>0</v>
      </c>
      <c r="F12" s="11" t="str">
        <f t="shared" si="2"/>
        <v/>
      </c>
      <c r="G12" s="11" t="str">
        <f t="shared" si="3"/>
        <v/>
      </c>
      <c r="H12" s="11">
        <f t="shared" si="0"/>
        <v>-37</v>
      </c>
      <c r="I12" s="11">
        <f t="shared" si="1"/>
        <v>1</v>
      </c>
      <c r="J12" s="11" t="str">
        <f>'IAx - XL'!G13</f>
        <v xml:space="preserve">Stem Bolts: N/A ----- Aerobar Bolts: Top 20mm; Bottom 15mm </v>
      </c>
      <c r="K12" s="11">
        <v>1</v>
      </c>
      <c r="L12" t="str">
        <f t="array" ref="L12">INDEX($C$8:$D$382, SMALL(IF($C$8:$C$382=$F$5, ROW($C$8:$C$382)-MIN(ROW($C$8:$C$382))+1), ROW(5:5)),2)</f>
        <v>Frame: 48 ----- Stem: Integrated ----- Carbon Aerobar (optional): + 30 + bridge + 5</v>
      </c>
      <c r="M12" t="str">
        <f t="shared" si="4"/>
        <v>Frame: 48 ----- Stem: Integrated ----- Carbon Aerobar (optional): + 30 + bridge + 5</v>
      </c>
      <c r="N12" t="str">
        <f t="shared" si="5"/>
        <v>Frame: 48 ----- Stem: Integrated ----- Carbon Aerobar (optional): + 30 + bridge + 5  with reach:26</v>
      </c>
      <c r="O12" t="str">
        <f t="shared" si="6"/>
        <v/>
      </c>
      <c r="P12" t="str">
        <f t="shared" si="7"/>
        <v>Frame: 48 ----- Stem: Integrated ----- Carbon Aerobar (optional): + 30 + bridge + 5</v>
      </c>
      <c r="Q12" t="str">
        <f t="shared" si="8"/>
        <v/>
      </c>
      <c r="T12" t="s">
        <v>3</v>
      </c>
      <c r="U12">
        <f>'Data - IAx'!T9</f>
        <v>444</v>
      </c>
    </row>
    <row r="13" spans="3:34" x14ac:dyDescent="0.25">
      <c r="C13" s="11">
        <f>'IAx - XL'!D14</f>
        <v>680</v>
      </c>
      <c r="D13" s="11" t="str">
        <f>'IAx - XL'!B14</f>
        <v xml:space="preserve">Frame: 58 ----- Stem: Integrated ----- Alloy Aerobar: + 20 + 5 </v>
      </c>
      <c r="E13" s="11">
        <f t="shared" si="9"/>
        <v>0</v>
      </c>
      <c r="F13" s="11" t="str">
        <f t="shared" si="2"/>
        <v/>
      </c>
      <c r="G13" s="11" t="str">
        <f t="shared" si="3"/>
        <v/>
      </c>
      <c r="H13" s="11">
        <f t="shared" si="0"/>
        <v>-37</v>
      </c>
      <c r="I13" s="11">
        <f t="shared" si="1"/>
        <v>1</v>
      </c>
      <c r="J13" s="11" t="str">
        <f>'IAx - XL'!G14</f>
        <v xml:space="preserve">Stem Bolts: N/A ----- Aerobar Bolts: Top 25mm; Bottom 15mm </v>
      </c>
      <c r="K13" s="11">
        <v>1</v>
      </c>
      <c r="L13" t="e">
        <f t="array" ref="L13">INDEX($C$8:$D$382, SMALL(IF($C$8:$C$382=$F$5, ROW($C$8:$C$382)-MIN(ROW($C$8:$C$382))+1), ROW(6:6)),2)</f>
        <v>#NUM!</v>
      </c>
      <c r="M13" t="str">
        <f t="shared" si="4"/>
        <v/>
      </c>
      <c r="N13" t="str">
        <f t="shared" si="5"/>
        <v/>
      </c>
      <c r="O13" t="str">
        <f t="shared" si="6"/>
        <v/>
      </c>
      <c r="P13" t="str">
        <f t="shared" si="7"/>
        <v/>
      </c>
      <c r="Q13" t="str">
        <f t="shared" si="8"/>
        <v/>
      </c>
      <c r="T13" t="s">
        <v>4</v>
      </c>
      <c r="U13">
        <f>'Data - IAx'!T10</f>
        <v>459</v>
      </c>
    </row>
    <row r="14" spans="3:34" x14ac:dyDescent="0.25">
      <c r="C14" s="11">
        <f>'IAx - XL'!D15</f>
        <v>680</v>
      </c>
      <c r="D14" s="11" t="str">
        <f>'IAx - XL'!B15</f>
        <v>Frame: 58 ----- Stem: Integrated ----- Alloy Aerobar: + 20 + bridge</v>
      </c>
      <c r="E14" s="11">
        <f t="shared" si="9"/>
        <v>0</v>
      </c>
      <c r="F14" s="11" t="str">
        <f t="shared" si="2"/>
        <v/>
      </c>
      <c r="G14" s="11" t="str">
        <f t="shared" si="3"/>
        <v/>
      </c>
      <c r="H14" s="11">
        <f t="shared" si="0"/>
        <v>-37</v>
      </c>
      <c r="I14" s="11">
        <f t="shared" si="1"/>
        <v>1</v>
      </c>
      <c r="J14" s="11" t="str">
        <f>'IAx - XL'!G15</f>
        <v xml:space="preserve">Stem Bolts: N/A ----- Aerobar Bolts: Top 25mm; Bottom 15mm </v>
      </c>
      <c r="K14" s="11">
        <v>1</v>
      </c>
      <c r="L14" t="e">
        <f t="array" ref="L14">INDEX($C$8:$D$382, SMALL(IF($C$8:$C$382=$F$5, ROW($C$8:$C$382)-MIN(ROW($C$8:$C$382))+1), ROW(7:7)),2)</f>
        <v>#NUM!</v>
      </c>
      <c r="M14" t="str">
        <f t="shared" ref="M14:M29" si="10">IFERROR(IF(AND(VLOOKUP(L14,$D$8:$K$382,2,FALSE)=1,VLOOKUP(L14,$D$8:$K$382,6,FALSE)=1,VLOOKUP(L14,$D$8:$K$382,8,FALSE)=1),L14,""),"")</f>
        <v/>
      </c>
      <c r="N14" t="str">
        <f t="shared" si="5"/>
        <v/>
      </c>
      <c r="O14" t="str">
        <f t="shared" si="6"/>
        <v/>
      </c>
      <c r="P14" t="str">
        <f t="shared" si="7"/>
        <v/>
      </c>
      <c r="Q14" t="str">
        <f t="shared" si="8"/>
        <v/>
      </c>
      <c r="T14" t="s">
        <v>5</v>
      </c>
      <c r="U14">
        <f>'Data - IAx'!T11</f>
        <v>470</v>
      </c>
    </row>
    <row r="15" spans="3:34" x14ac:dyDescent="0.25">
      <c r="C15" s="11">
        <f>'IAx - XL'!D16</f>
        <v>685</v>
      </c>
      <c r="D15" s="11" t="str">
        <f>'IAx - XL'!B16</f>
        <v>Frame: 58 ----- Stem: Integrated ----- Alloy Aerobar: + 20 + bridge + 5</v>
      </c>
      <c r="E15" s="11">
        <f t="shared" si="9"/>
        <v>0</v>
      </c>
      <c r="F15" s="11" t="str">
        <f t="shared" si="2"/>
        <v/>
      </c>
      <c r="G15" s="11" t="str">
        <f t="shared" si="3"/>
        <v/>
      </c>
      <c r="H15" s="11">
        <f t="shared" si="0"/>
        <v>-37</v>
      </c>
      <c r="I15" s="11">
        <f t="shared" si="1"/>
        <v>1</v>
      </c>
      <c r="J15" s="11" t="str">
        <f>'IAx - XL'!G16</f>
        <v xml:space="preserve">Stem Bolts: N/A ----- Aerobar Bolts: Top 25mm; Bottom 15mm </v>
      </c>
      <c r="K15" s="11">
        <v>1</v>
      </c>
      <c r="L15" t="e">
        <f t="array" ref="L15">INDEX($C$8:$D$382, SMALL(IF($C$8:$C$382=$F$5, ROW($C$8:$C$382)-MIN(ROW($C$8:$C$382))+1), ROW(8:8)),2)</f>
        <v>#NUM!</v>
      </c>
      <c r="M15" t="str">
        <f t="shared" si="10"/>
        <v/>
      </c>
      <c r="N15" t="str">
        <f t="shared" si="5"/>
        <v/>
      </c>
      <c r="O15" t="str">
        <f t="shared" si="6"/>
        <v/>
      </c>
      <c r="P15" t="str">
        <f t="shared" si="7"/>
        <v/>
      </c>
      <c r="Q15" t="str">
        <f t="shared" si="8"/>
        <v/>
      </c>
      <c r="T15" t="s">
        <v>6</v>
      </c>
      <c r="U15">
        <f>'Data - IAx'!T12</f>
        <v>488</v>
      </c>
    </row>
    <row r="16" spans="3:34" x14ac:dyDescent="0.25">
      <c r="C16" s="11">
        <f>'IAx - XL'!D17</f>
        <v>685</v>
      </c>
      <c r="D16" s="11" t="str">
        <f>'IAx - XL'!B17</f>
        <v>Frame: 58 ----- Stem: Integrated ----- Alloy Aerobar: + 30</v>
      </c>
      <c r="E16" s="11">
        <f t="shared" si="9"/>
        <v>0</v>
      </c>
      <c r="F16" s="11">
        <f t="shared" si="2"/>
        <v>1</v>
      </c>
      <c r="G16" s="11" t="str">
        <f t="shared" si="3"/>
        <v/>
      </c>
      <c r="H16" s="11">
        <f t="shared" si="0"/>
        <v>-37</v>
      </c>
      <c r="I16" s="11">
        <f t="shared" si="1"/>
        <v>1</v>
      </c>
      <c r="J16" s="11" t="str">
        <f>'IAx - XL'!G17</f>
        <v xml:space="preserve">Stem Bolts: N/A ----- Aerobar Bolts: Top 25mm; Bottom 15mm </v>
      </c>
      <c r="K16" s="11">
        <v>1</v>
      </c>
      <c r="L16" t="e">
        <f t="array" ref="L16">INDEX($C$8:$D$382, SMALL(IF($C$8:$C$382=$F$5, ROW($C$8:$C$382)-MIN(ROW($C$8:$C$382))+1), ROW(9:9)),2)</f>
        <v>#NUM!</v>
      </c>
      <c r="M16" t="str">
        <f t="shared" si="10"/>
        <v/>
      </c>
      <c r="N16" t="str">
        <f t="shared" si="5"/>
        <v/>
      </c>
      <c r="O16" t="str">
        <f t="shared" si="6"/>
        <v/>
      </c>
      <c r="P16" t="str">
        <f t="shared" si="7"/>
        <v/>
      </c>
      <c r="Q16" t="str">
        <f t="shared" si="8"/>
        <v/>
      </c>
      <c r="T16" t="s">
        <v>7</v>
      </c>
      <c r="U16">
        <f>'Data - IAx'!T13</f>
        <v>507</v>
      </c>
    </row>
    <row r="17" spans="3:20" x14ac:dyDescent="0.25">
      <c r="C17" s="11">
        <f>'IAx - XL'!D18</f>
        <v>690</v>
      </c>
      <c r="D17" s="11" t="str">
        <f>'IAx - XL'!B18</f>
        <v>Frame: 58 ----- Stem: Integrated ----- Alloy Aerobar: + 30 + bridge</v>
      </c>
      <c r="E17" s="11">
        <f t="shared" si="9"/>
        <v>0</v>
      </c>
      <c r="F17" s="11">
        <f t="shared" si="2"/>
        <v>1</v>
      </c>
      <c r="G17" s="11" t="str">
        <f t="shared" si="3"/>
        <v/>
      </c>
      <c r="H17" s="11">
        <f t="shared" si="0"/>
        <v>-37</v>
      </c>
      <c r="I17" s="11">
        <f t="shared" si="1"/>
        <v>1</v>
      </c>
      <c r="J17" s="11" t="str">
        <f>'IAx - XL'!G18</f>
        <v xml:space="preserve">Stem Bolts: N/A ----- Aerobar Bolts: Top 30mm; Bottom 15mm </v>
      </c>
      <c r="K17" s="11">
        <v>1</v>
      </c>
      <c r="L17" t="e">
        <f t="array" ref="L17">INDEX($C$8:$D$382, SMALL(IF($C$8:$C$382=$F$5, ROW($C$8:$C$382)-MIN(ROW($C$8:$C$382))+1), ROW(10:10)),2)</f>
        <v>#NUM!</v>
      </c>
      <c r="M17" t="str">
        <f t="shared" si="10"/>
        <v/>
      </c>
      <c r="N17" t="str">
        <f t="shared" si="5"/>
        <v/>
      </c>
      <c r="O17" t="str">
        <f t="shared" si="6"/>
        <v/>
      </c>
      <c r="P17" t="str">
        <f t="shared" si="7"/>
        <v/>
      </c>
      <c r="Q17" t="str">
        <f t="shared" si="8"/>
        <v/>
      </c>
    </row>
    <row r="18" spans="3:20" x14ac:dyDescent="0.25">
      <c r="C18" s="11">
        <f>'IAx - XL'!D19</f>
        <v>695</v>
      </c>
      <c r="D18" s="11" t="str">
        <f>'IAx - XL'!B19</f>
        <v>Frame: 58 ----- Stem: Integrated ----- Alloy Aerobar: + 30 + bridge + 5</v>
      </c>
      <c r="E18" s="11">
        <f t="shared" si="9"/>
        <v>0</v>
      </c>
      <c r="F18" s="11">
        <f t="shared" si="2"/>
        <v>1</v>
      </c>
      <c r="G18" s="11" t="str">
        <f t="shared" si="3"/>
        <v/>
      </c>
      <c r="H18" s="11">
        <f t="shared" si="0"/>
        <v>-37</v>
      </c>
      <c r="I18" s="11">
        <f t="shared" si="1"/>
        <v>1</v>
      </c>
      <c r="J18" s="11" t="str">
        <f>'IAx - XL'!G19</f>
        <v xml:space="preserve">Stem Bolts: N/A ----- Aerobar Bolts: Top 30mm; Bottom 15mm </v>
      </c>
      <c r="K18" s="11">
        <v>1</v>
      </c>
      <c r="L18" t="e">
        <f t="array" ref="L18">INDEX($C$8:$D$382, SMALL(IF($C$8:$C$382=$F$5, ROW($C$8:$C$382)-MIN(ROW($C$8:$C$382))+1), ROW(11:11)),2)</f>
        <v>#NUM!</v>
      </c>
      <c r="M18" t="str">
        <f t="shared" si="10"/>
        <v/>
      </c>
      <c r="N18" t="str">
        <f>IF(M18="","",TEXT(M18,0)&amp;"  with reach:"&amp;IFERROR(VLOOKUP(M18,$D$8:$H$382,5,FALSE),""))</f>
        <v/>
      </c>
      <c r="O18" t="str">
        <f t="shared" si="6"/>
        <v/>
      </c>
      <c r="P18" t="str">
        <f t="shared" si="7"/>
        <v/>
      </c>
      <c r="Q18" t="str">
        <f t="shared" si="8"/>
        <v/>
      </c>
    </row>
    <row r="19" spans="3:20" x14ac:dyDescent="0.25">
      <c r="C19" s="11">
        <f>'IAx - XL'!D20</f>
        <v>700</v>
      </c>
      <c r="D19" s="11" t="str">
        <f>'IAx - XL'!B20</f>
        <v>Frame: 58 ----- Stem: Integrated ----- Alloy Aerobar: + 40 + bridge</v>
      </c>
      <c r="E19" s="11">
        <f t="shared" si="9"/>
        <v>0</v>
      </c>
      <c r="F19" s="11" t="str">
        <f t="shared" si="2"/>
        <v/>
      </c>
      <c r="G19" s="11">
        <f t="shared" si="3"/>
        <v>1</v>
      </c>
      <c r="H19" s="11">
        <f t="shared" si="0"/>
        <v>-37</v>
      </c>
      <c r="I19" s="11">
        <f t="shared" si="1"/>
        <v>1</v>
      </c>
      <c r="J19" s="11" t="str">
        <f>'IAx - XL'!G20</f>
        <v xml:space="preserve">Stem Bolts: N/A ----- Aerobar Bolts: Top 35mm; Bottom 15mm </v>
      </c>
      <c r="K19" s="11">
        <v>1</v>
      </c>
      <c r="L19" t="e">
        <f t="array" ref="L19">INDEX($C$8:$D$382, SMALL(IF($C$8:$C$382=$F$5, ROW($C$8:$C$382)-MIN(ROW($C$8:$C$382))+1), ROW(12:12)),2)</f>
        <v>#NUM!</v>
      </c>
      <c r="M19" t="str">
        <f t="shared" si="10"/>
        <v/>
      </c>
      <c r="N19" t="str">
        <f t="shared" ref="N19:N29" si="11">IF(M19="","",TEXT(M19,0)&amp;"  with reach:"&amp;IFERROR(VLOOKUP(M19,$D$8:$H$382,5,FALSE),""))</f>
        <v/>
      </c>
      <c r="O19" t="str">
        <f t="shared" si="6"/>
        <v/>
      </c>
      <c r="P19" t="str">
        <f t="shared" si="7"/>
        <v/>
      </c>
      <c r="Q19" t="str">
        <f t="shared" si="8"/>
        <v/>
      </c>
    </row>
    <row r="20" spans="3:20" x14ac:dyDescent="0.25">
      <c r="C20" s="11">
        <f>'IAx - XL'!D21</f>
        <v>705</v>
      </c>
      <c r="D20" s="11" t="str">
        <f>'IAx - XL'!B21</f>
        <v>Frame: 58 ----- Stem: Integrated ----- Alloy Aerobar: + 40 + bridge + 5</v>
      </c>
      <c r="E20" s="11">
        <f t="shared" si="9"/>
        <v>0</v>
      </c>
      <c r="F20" s="11" t="str">
        <f t="shared" si="2"/>
        <v/>
      </c>
      <c r="G20" s="11">
        <f t="shared" si="3"/>
        <v>1</v>
      </c>
      <c r="H20" s="11">
        <f t="shared" si="0"/>
        <v>-37</v>
      </c>
      <c r="I20" s="11">
        <f t="shared" si="1"/>
        <v>1</v>
      </c>
      <c r="J20" s="11" t="str">
        <f>'IAx - XL'!G21</f>
        <v xml:space="preserve">Stem Bolts: N/A ----- Aerobar Bolts: Top 35mm; Bottom 15mm </v>
      </c>
      <c r="K20" s="11">
        <v>1</v>
      </c>
      <c r="L20" t="e">
        <f t="array" ref="L20">INDEX($C$8:$D$382, SMALL(IF($C$8:$C$382=$F$5, ROW($C$8:$C$382)-MIN(ROW($C$8:$C$382))+1), ROW(13:13)),2)</f>
        <v>#NUM!</v>
      </c>
      <c r="M20" t="str">
        <f t="shared" si="10"/>
        <v/>
      </c>
      <c r="N20" t="str">
        <f t="shared" si="11"/>
        <v/>
      </c>
      <c r="O20" t="str">
        <f t="shared" si="6"/>
        <v/>
      </c>
      <c r="P20" t="str">
        <f t="shared" si="7"/>
        <v/>
      </c>
      <c r="Q20" t="str">
        <f t="shared" si="8"/>
        <v/>
      </c>
    </row>
    <row r="21" spans="3:20" x14ac:dyDescent="0.25">
      <c r="C21" s="11">
        <f>'IAx - XL'!D22</f>
        <v>710</v>
      </c>
      <c r="D21" s="11" t="str">
        <f>'IAx - XL'!B22</f>
        <v>Frame: 58 ----- Stem: Integrated ----- Alloy Aerobar: + 40 + bridge + 10</v>
      </c>
      <c r="E21" s="11">
        <f t="shared" si="9"/>
        <v>0</v>
      </c>
      <c r="F21" s="11" t="str">
        <f t="shared" si="2"/>
        <v/>
      </c>
      <c r="G21" s="11">
        <f t="shared" si="3"/>
        <v>1</v>
      </c>
      <c r="H21" s="11">
        <f t="shared" si="0"/>
        <v>-37</v>
      </c>
      <c r="I21" s="11">
        <f t="shared" si="1"/>
        <v>1</v>
      </c>
      <c r="J21" s="11" t="str">
        <f>'IAx - XL'!G22</f>
        <v xml:space="preserve">Stem Bolts: N/A ----- Aerobar Bolts: Top 35mm; Bottom 15mm </v>
      </c>
      <c r="K21" s="11">
        <v>1</v>
      </c>
      <c r="L21" t="e">
        <f t="array" ref="L21">INDEX($C$8:$D$382, SMALL(IF($C$8:$C$382=$F$5, ROW($C$8:$C$382)-MIN(ROW($C$8:$C$382))+1), ROW(14:14)),2)</f>
        <v>#NUM!</v>
      </c>
      <c r="M21" t="str">
        <f t="shared" si="10"/>
        <v/>
      </c>
      <c r="N21" t="str">
        <f t="shared" si="11"/>
        <v/>
      </c>
      <c r="O21" t="str">
        <f t="shared" si="6"/>
        <v/>
      </c>
      <c r="P21" t="str">
        <f t="shared" si="7"/>
        <v/>
      </c>
      <c r="Q21" t="str">
        <f t="shared" si="8"/>
        <v/>
      </c>
    </row>
    <row r="22" spans="3:20" x14ac:dyDescent="0.25">
      <c r="C22" s="11">
        <f>'IAx - XL'!D23</f>
        <v>715</v>
      </c>
      <c r="D22" s="11" t="str">
        <f>'IAx - XL'!B23</f>
        <v>Frame: 58 ----- Stem: Integrated ----- Alloy Aerobar: + 40 + bridge + 5 + 10</v>
      </c>
      <c r="E22" s="11">
        <f t="shared" si="9"/>
        <v>0</v>
      </c>
      <c r="F22" s="11" t="str">
        <f t="shared" si="2"/>
        <v/>
      </c>
      <c r="G22" s="11">
        <f t="shared" si="3"/>
        <v>1</v>
      </c>
      <c r="H22" s="11">
        <f t="shared" si="0"/>
        <v>-37</v>
      </c>
      <c r="I22" s="11">
        <f t="shared" si="1"/>
        <v>1</v>
      </c>
      <c r="J22" s="11" t="str">
        <f>'IAx - XL'!G23</f>
        <v xml:space="preserve">Stem Bolts: N/A ----- Aerobar Bolts: Top 35mm; Bottom 25mm </v>
      </c>
      <c r="K22" s="11">
        <v>1</v>
      </c>
      <c r="L22" t="e">
        <f t="array" ref="L22">INDEX($C$8:$D$382, SMALL(IF($C$8:$C$382=$F$5, ROW($C$8:$C$382)-MIN(ROW($C$8:$C$382))+1), ROW(15:15)),2)</f>
        <v>#NUM!</v>
      </c>
      <c r="M22" t="str">
        <f t="shared" si="10"/>
        <v/>
      </c>
      <c r="N22" t="str">
        <f t="shared" si="11"/>
        <v/>
      </c>
      <c r="O22" t="str">
        <f t="shared" si="6"/>
        <v/>
      </c>
      <c r="P22" t="str">
        <f t="shared" si="7"/>
        <v/>
      </c>
      <c r="Q22" t="str">
        <f t="shared" si="8"/>
        <v/>
      </c>
    </row>
    <row r="23" spans="3:20" x14ac:dyDescent="0.25">
      <c r="C23" s="6">
        <f>'IAx - XL'!D24</f>
        <v>0</v>
      </c>
      <c r="D23" s="6" t="str">
        <f>'IAx - XL'!B24</f>
        <v xml:space="preserve">Frame: 58 ----- Stem: Integrated ----- Carbon Aerobar (optional): </v>
      </c>
      <c r="E23" s="6">
        <f t="shared" si="9"/>
        <v>0</v>
      </c>
      <c r="F23" s="6" t="str">
        <f t="shared" ref="F23:F37" si="12">IF(ISNUMBER(FIND("30",D23)),1,"")</f>
        <v/>
      </c>
      <c r="G23" s="6" t="str">
        <f t="shared" ref="G23:G37" si="13">IF(ISNUMBER(FIND("40",D23)),1,"")</f>
        <v/>
      </c>
      <c r="H23" s="6">
        <f t="shared" ref="H23:H37" si="14">$E$4-$U$16</f>
        <v>-37</v>
      </c>
      <c r="I23" s="6">
        <f t="shared" si="1"/>
        <v>1</v>
      </c>
      <c r="J23" s="6" t="str">
        <f>'IAx - XL'!G24</f>
        <v xml:space="preserve">Stem Bolts: N/A ----- Aerobar Bolts: Top N/A; Bottom N/A </v>
      </c>
      <c r="K23" s="11">
        <v>1</v>
      </c>
      <c r="L23" t="e">
        <f t="array" ref="L23">INDEX($C$8:$D$382, SMALL(IF($C$8:$C$382=$F$5, ROW($C$8:$C$382)-MIN(ROW($C$8:$C$382))+1), ROW(16:16)),2)</f>
        <v>#NUM!</v>
      </c>
      <c r="M23" t="str">
        <f t="shared" si="10"/>
        <v/>
      </c>
      <c r="N23" t="str">
        <f t="shared" si="11"/>
        <v/>
      </c>
      <c r="O23" t="str">
        <f t="shared" si="6"/>
        <v/>
      </c>
      <c r="P23" t="str">
        <f t="shared" si="7"/>
        <v/>
      </c>
      <c r="Q23" t="str">
        <f t="shared" si="8"/>
        <v/>
      </c>
    </row>
    <row r="24" spans="3:20" x14ac:dyDescent="0.25">
      <c r="C24" s="6">
        <f>'IAx - XL'!D25</f>
        <v>645</v>
      </c>
      <c r="D24" s="6" t="str">
        <f>'IAx - XL'!B25</f>
        <v>Frame: 58 ----- Stem: Integrated ----- Carbon Aerobar (optional): + 5</v>
      </c>
      <c r="E24" s="6">
        <f t="shared" si="9"/>
        <v>0</v>
      </c>
      <c r="F24" s="6" t="str">
        <f t="shared" si="12"/>
        <v/>
      </c>
      <c r="G24" s="6" t="str">
        <f t="shared" si="13"/>
        <v/>
      </c>
      <c r="H24" s="6">
        <f t="shared" si="14"/>
        <v>-37</v>
      </c>
      <c r="I24" s="6">
        <f t="shared" si="1"/>
        <v>1</v>
      </c>
      <c r="J24" s="6" t="str">
        <f>'IAx - XL'!G25</f>
        <v xml:space="preserve">Stem Bolts: N/A ----- Aerobar Bolts: Top 45mm; Bottom N/A </v>
      </c>
      <c r="K24" s="11">
        <v>1</v>
      </c>
      <c r="L24" t="e">
        <f t="array" ref="L24">INDEX($C$8:$D$382, SMALL(IF($C$8:$C$382=$F$5, ROW($C$8:$C$382)-MIN(ROW($C$8:$C$382))+1), ROW(17:17)),2)</f>
        <v>#NUM!</v>
      </c>
      <c r="M24" t="str">
        <f t="shared" si="10"/>
        <v/>
      </c>
      <c r="N24" t="str">
        <f t="shared" si="11"/>
        <v/>
      </c>
      <c r="O24" t="str">
        <f t="shared" si="6"/>
        <v/>
      </c>
      <c r="P24" t="str">
        <f t="shared" si="7"/>
        <v/>
      </c>
      <c r="Q24" t="str">
        <f t="shared" si="8"/>
        <v/>
      </c>
    </row>
    <row r="25" spans="3:20" x14ac:dyDescent="0.25">
      <c r="C25" s="6">
        <f>'IAx - XL'!D26</f>
        <v>650</v>
      </c>
      <c r="D25" s="6" t="str">
        <f>'IAx - XL'!B26</f>
        <v>Frame: 58 ----- Stem: Integrated ----- Carbon Aerobar (optional): + 10</v>
      </c>
      <c r="E25" s="6">
        <f t="shared" si="9"/>
        <v>0</v>
      </c>
      <c r="F25" s="6" t="str">
        <f t="shared" si="12"/>
        <v/>
      </c>
      <c r="G25" s="6" t="str">
        <f t="shared" si="13"/>
        <v/>
      </c>
      <c r="H25" s="6">
        <f t="shared" si="14"/>
        <v>-37</v>
      </c>
      <c r="I25" s="6">
        <f t="shared" si="1"/>
        <v>1</v>
      </c>
      <c r="J25" s="6" t="str">
        <f>'IAx - XL'!G26</f>
        <v xml:space="preserve">Stem Bolts: N/A ----- Aerobar Bolts: Top 50mm; Bottom N/A </v>
      </c>
      <c r="K25" s="11">
        <v>1</v>
      </c>
      <c r="L25" t="e">
        <f t="array" ref="L25">INDEX($C$8:$D$382, SMALL(IF($C$8:$C$382=$F$5, ROW($C$8:$C$382)-MIN(ROW($C$8:$C$382))+1), ROW(18:18)),2)</f>
        <v>#NUM!</v>
      </c>
      <c r="M25" t="str">
        <f t="shared" si="10"/>
        <v/>
      </c>
      <c r="N25" t="str">
        <f t="shared" si="11"/>
        <v/>
      </c>
      <c r="O25" t="str">
        <f t="shared" si="6"/>
        <v/>
      </c>
      <c r="P25" t="str">
        <f t="shared" si="7"/>
        <v/>
      </c>
      <c r="Q25" t="str">
        <f t="shared" si="8"/>
        <v/>
      </c>
    </row>
    <row r="26" spans="3:20" x14ac:dyDescent="0.25">
      <c r="C26" s="6">
        <f>'IAx - XL'!D27</f>
        <v>655</v>
      </c>
      <c r="D26" s="6" t="str">
        <f>'IAx - XL'!B27</f>
        <v>Frame: 58 ----- Stem: Integrated ----- Carbon Aerobar (optional): + 5 + 10</v>
      </c>
      <c r="E26" s="6">
        <f t="shared" si="9"/>
        <v>0</v>
      </c>
      <c r="F26" s="6" t="str">
        <f t="shared" si="12"/>
        <v/>
      </c>
      <c r="G26" s="6" t="str">
        <f t="shared" si="13"/>
        <v/>
      </c>
      <c r="H26" s="6">
        <f t="shared" si="14"/>
        <v>-37</v>
      </c>
      <c r="I26" s="6">
        <f t="shared" si="1"/>
        <v>1</v>
      </c>
      <c r="J26" s="6" t="str">
        <f>'IAx - XL'!G27</f>
        <v xml:space="preserve">Stem Bolts: N/A ----- Aerobar Bolts: Top 55mm; Bottom N/A </v>
      </c>
      <c r="K26" s="11">
        <v>1</v>
      </c>
      <c r="L26" t="e">
        <f t="array" ref="L26">INDEX($C$8:$D$382, SMALL(IF($C$8:$C$382=$F$5, ROW($C$8:$C$382)-MIN(ROW($C$8:$C$382))+1), ROW(19:19)),2)</f>
        <v>#NUM!</v>
      </c>
      <c r="M26" t="str">
        <f t="shared" si="10"/>
        <v/>
      </c>
      <c r="N26" t="str">
        <f t="shared" si="11"/>
        <v/>
      </c>
      <c r="O26" t="str">
        <f t="shared" si="6"/>
        <v/>
      </c>
      <c r="P26" t="str">
        <f t="shared" si="7"/>
        <v/>
      </c>
      <c r="Q26" t="str">
        <f t="shared" si="8"/>
        <v/>
      </c>
    </row>
    <row r="27" spans="3:20" x14ac:dyDescent="0.25">
      <c r="C27" s="6">
        <f>'IAx - XL'!D28</f>
        <v>660</v>
      </c>
      <c r="D27" s="6" t="str">
        <f>'IAx - XL'!B28</f>
        <v>Frame: 58 ----- Stem: Integrated ----- Carbon Aerobar (optional): + 20</v>
      </c>
      <c r="E27" s="6">
        <f t="shared" si="9"/>
        <v>0</v>
      </c>
      <c r="F27" s="6" t="str">
        <f t="shared" si="12"/>
        <v/>
      </c>
      <c r="G27" s="6" t="str">
        <f t="shared" si="13"/>
        <v/>
      </c>
      <c r="H27" s="6">
        <f t="shared" si="14"/>
        <v>-37</v>
      </c>
      <c r="I27" s="6">
        <f t="shared" si="1"/>
        <v>1</v>
      </c>
      <c r="J27" s="6" t="str">
        <f>'IAx - XL'!G28</f>
        <v xml:space="preserve">Stem Bolts: N/A ----- Aerobar Bolts: Top 20mm; Bottom 30mm </v>
      </c>
      <c r="K27" s="11">
        <v>1</v>
      </c>
      <c r="L27" t="e">
        <f t="array" ref="L27">INDEX($C$8:$D$382, SMALL(IF($C$8:$C$382=$F$5, ROW($C$8:$C$382)-MIN(ROW($C$8:$C$382))+1), ROW(20:20)),2)</f>
        <v>#NUM!</v>
      </c>
      <c r="M27" t="str">
        <f t="shared" si="10"/>
        <v/>
      </c>
      <c r="N27" t="str">
        <f t="shared" si="11"/>
        <v/>
      </c>
      <c r="O27" t="str">
        <f t="shared" si="6"/>
        <v/>
      </c>
      <c r="P27" t="str">
        <f t="shared" si="7"/>
        <v/>
      </c>
      <c r="Q27" t="str">
        <f t="shared" si="8"/>
        <v/>
      </c>
    </row>
    <row r="28" spans="3:20" x14ac:dyDescent="0.25">
      <c r="C28" s="6">
        <f>'IAx - XL'!D29</f>
        <v>665</v>
      </c>
      <c r="D28" s="6" t="str">
        <f>'IAx - XL'!B29</f>
        <v xml:space="preserve">Frame: 58 ----- Stem: Integrated ----- Carbon Aerobar (optional): + 20 + 5 </v>
      </c>
      <c r="E28" s="6">
        <f t="shared" si="9"/>
        <v>0</v>
      </c>
      <c r="F28" s="6" t="str">
        <f t="shared" si="12"/>
        <v/>
      </c>
      <c r="G28" s="6" t="str">
        <f t="shared" si="13"/>
        <v/>
      </c>
      <c r="H28" s="6">
        <f t="shared" si="14"/>
        <v>-37</v>
      </c>
      <c r="I28" s="6">
        <f t="shared" si="1"/>
        <v>1</v>
      </c>
      <c r="J28" s="6" t="str">
        <f>'IAx - XL'!G29</f>
        <v xml:space="preserve">Stem Bolts: N/A ----- Aerobar Bolts: Top 25mm; Bottom 30mm </v>
      </c>
      <c r="K28" s="11">
        <v>1</v>
      </c>
      <c r="L28" t="e">
        <f t="array" ref="L28">INDEX($C$8:$D$382, SMALL(IF($C$8:$C$382=$F$5, ROW($C$8:$C$382)-MIN(ROW($C$8:$C$382))+1), ROW(21:21)),2)</f>
        <v>#NUM!</v>
      </c>
      <c r="M28" t="str">
        <f t="shared" si="10"/>
        <v/>
      </c>
      <c r="N28" t="str">
        <f t="shared" si="11"/>
        <v/>
      </c>
      <c r="O28" t="str">
        <f t="shared" si="6"/>
        <v/>
      </c>
      <c r="P28" t="str">
        <f t="shared" si="7"/>
        <v/>
      </c>
      <c r="Q28" t="str">
        <f t="shared" si="8"/>
        <v/>
      </c>
    </row>
    <row r="29" spans="3:20" x14ac:dyDescent="0.25">
      <c r="C29" s="6">
        <f>'IAx - XL'!D30</f>
        <v>665</v>
      </c>
      <c r="D29" s="6" t="str">
        <f>'IAx - XL'!B30</f>
        <v>Frame: 58 ----- Stem: Integrated ----- Carbon Aerobar (optional): + 20 + bridge</v>
      </c>
      <c r="E29" s="6">
        <f t="shared" si="9"/>
        <v>0</v>
      </c>
      <c r="F29" s="6" t="str">
        <f t="shared" si="12"/>
        <v/>
      </c>
      <c r="G29" s="6" t="str">
        <f t="shared" si="13"/>
        <v/>
      </c>
      <c r="H29" s="6">
        <f t="shared" si="14"/>
        <v>-37</v>
      </c>
      <c r="I29" s="6">
        <f t="shared" si="1"/>
        <v>1</v>
      </c>
      <c r="J29" s="6" t="str">
        <f>'IAx - XL'!G30</f>
        <v xml:space="preserve">Stem Bolts: N/A ----- Aerobar Bolts: Top 25mm; Bottom 30mm </v>
      </c>
      <c r="K29" s="11">
        <v>1</v>
      </c>
      <c r="L29" t="e">
        <f t="array" ref="L29">INDEX($C$8:$D$382, SMALL(IF($C$8:$C$382=$F$5, ROW($C$8:$C$382)-MIN(ROW($C$8:$C$382))+1), ROW(22:22)),2)</f>
        <v>#NUM!</v>
      </c>
      <c r="M29" t="str">
        <f t="shared" si="10"/>
        <v/>
      </c>
      <c r="N29" t="str">
        <f t="shared" si="11"/>
        <v/>
      </c>
      <c r="O29" t="str">
        <f t="shared" si="6"/>
        <v/>
      </c>
      <c r="P29" t="str">
        <f t="shared" si="7"/>
        <v/>
      </c>
      <c r="Q29" t="str">
        <f t="shared" si="8"/>
        <v/>
      </c>
      <c r="T29" s="1"/>
    </row>
    <row r="30" spans="3:20" x14ac:dyDescent="0.25">
      <c r="C30" s="6">
        <f>'IAx - XL'!D31</f>
        <v>670</v>
      </c>
      <c r="D30" s="6" t="str">
        <f>'IAx - XL'!B31</f>
        <v>Frame: 58 ----- Stem: Integrated ----- Carbon Aerobar (optional): + 20 + bridge + 5</v>
      </c>
      <c r="E30" s="6">
        <f t="shared" si="9"/>
        <v>0</v>
      </c>
      <c r="F30" s="6" t="str">
        <f t="shared" si="12"/>
        <v/>
      </c>
      <c r="G30" s="6" t="str">
        <f t="shared" si="13"/>
        <v/>
      </c>
      <c r="H30" s="6">
        <f t="shared" si="14"/>
        <v>-37</v>
      </c>
      <c r="I30" s="6">
        <f t="shared" si="1"/>
        <v>1</v>
      </c>
      <c r="J30" s="6" t="str">
        <f>'IAx - XL'!G31</f>
        <v xml:space="preserve">Stem Bolts: N/A ----- Aerobar Bolts: Top 25mm; Bottom 30mm </v>
      </c>
      <c r="K30" s="11">
        <v>1</v>
      </c>
      <c r="L30" t="s">
        <v>11</v>
      </c>
      <c r="O30" s="1" t="s">
        <v>28</v>
      </c>
      <c r="P30" t="str">
        <f>IFERROR(IF(VLOOKUP("1",D39:F248,3,FALSE)=1,M24,""),"")</f>
        <v/>
      </c>
    </row>
    <row r="31" spans="3:20" x14ac:dyDescent="0.25">
      <c r="C31" s="6">
        <f>'IAx - XL'!D32</f>
        <v>670</v>
      </c>
      <c r="D31" s="6" t="str">
        <f>'IAx - XL'!B32</f>
        <v>Frame: 58 ----- Stem: Integrated ----- Carbon Aerobar (optional): + 30</v>
      </c>
      <c r="E31" s="6">
        <f t="shared" si="9"/>
        <v>0</v>
      </c>
      <c r="F31" s="6">
        <f t="shared" si="12"/>
        <v>1</v>
      </c>
      <c r="G31" s="6" t="str">
        <f t="shared" si="13"/>
        <v/>
      </c>
      <c r="H31" s="6">
        <f t="shared" si="14"/>
        <v>-37</v>
      </c>
      <c r="I31" s="6">
        <f t="shared" si="1"/>
        <v>1</v>
      </c>
      <c r="J31" s="6" t="str">
        <f>'IAx - XL'!G32</f>
        <v xml:space="preserve">Stem Bolts: N/A ----- Aerobar Bolts: Top 30mm; Bottom 30mm </v>
      </c>
      <c r="K31" s="11">
        <v>1</v>
      </c>
      <c r="L31" t="s">
        <v>11</v>
      </c>
      <c r="O31" s="1" t="s">
        <v>25</v>
      </c>
      <c r="P31" s="1" t="s">
        <v>26</v>
      </c>
      <c r="Q31" s="1" t="s">
        <v>27</v>
      </c>
    </row>
    <row r="32" spans="3:20" x14ac:dyDescent="0.25">
      <c r="C32" s="6">
        <f>'IAx - XL'!D33</f>
        <v>675</v>
      </c>
      <c r="D32" s="6" t="str">
        <f>'IAx - XL'!B33</f>
        <v>Frame: 58 ----- Stem: Integrated ----- Carbon Aerobar (optional): + 30 + bridge</v>
      </c>
      <c r="E32" s="6">
        <f t="shared" si="9"/>
        <v>0</v>
      </c>
      <c r="F32" s="6">
        <f t="shared" si="12"/>
        <v>1</v>
      </c>
      <c r="G32" s="6" t="str">
        <f>IF(ISNUMBER(FIND("40",D32)),1,"")</f>
        <v/>
      </c>
      <c r="H32" s="6">
        <f t="shared" si="14"/>
        <v>-37</v>
      </c>
      <c r="I32" s="6">
        <f t="shared" si="1"/>
        <v>1</v>
      </c>
      <c r="J32" s="6" t="str">
        <f>'IAx - XL'!G33</f>
        <v xml:space="preserve">Stem Bolts: N/A ----- Aerobar Bolts: Top 30mm; Bottom 30mm </v>
      </c>
      <c r="K32" s="11">
        <v>1</v>
      </c>
      <c r="L32" s="1" t="s">
        <v>122</v>
      </c>
      <c r="M32" s="1" t="s">
        <v>124</v>
      </c>
      <c r="O32" t="str">
        <f t="array" ref="O32">IFERROR(INDEX(O$8:O$29,SMALL(IF(O$8:O$29&lt;&gt;"",ROW(O$8:O$29)-ROW(O$8)+1),ROWS(P$32:P32))),"")</f>
        <v>Frame: 51 ----- Stem: Integrated ----- Alloy Aerobar: + 5</v>
      </c>
      <c r="P32" t="str">
        <f t="array" ref="P32">IFERROR(INDEX(P$8:P$29,SMALL(IF(P$8:P$29&lt;&gt;"",ROW(P$8:P$29)-ROW(P$8)+1),ROWS(Q$32:Q32))),"")</f>
        <v>Frame: 48 ----- Stem: Integrated ----- Alloy Aerobar: + 30</v>
      </c>
      <c r="Q32" t="str">
        <f t="array" ref="Q32">IFERROR(INDEX(Q$8:Q$29,SMALL(IF(Q$8:Q$29&lt;&gt;"",ROW(Q$8:Q$29)-ROW(Q$8)+1),ROWS(R$26:R26))),"")</f>
        <v/>
      </c>
    </row>
    <row r="33" spans="3:20" x14ac:dyDescent="0.25">
      <c r="C33" s="6">
        <f>'IAx - XL'!D34</f>
        <v>680</v>
      </c>
      <c r="D33" s="6" t="str">
        <f>'IAx - XL'!B34</f>
        <v>Frame: 58 ----- Stem: Integrated ----- Carbon Aerobar (optional): + 30 + bridge + 5</v>
      </c>
      <c r="E33" s="6">
        <f t="shared" si="9"/>
        <v>0</v>
      </c>
      <c r="F33" s="6">
        <f t="shared" si="12"/>
        <v>1</v>
      </c>
      <c r="G33" s="6" t="str">
        <f t="shared" si="13"/>
        <v/>
      </c>
      <c r="H33" s="6">
        <f t="shared" si="14"/>
        <v>-37</v>
      </c>
      <c r="I33" s="6">
        <f t="shared" si="1"/>
        <v>1</v>
      </c>
      <c r="J33" s="6" t="str">
        <f>'IAx - XL'!G34</f>
        <v xml:space="preserve">Stem Bolts: N/A ----- Aerobar Bolts: Top 35mm; Bottom 30mm </v>
      </c>
      <c r="K33" s="11">
        <v>1</v>
      </c>
      <c r="L33" t="str">
        <f t="array" ref="L33">INDEX($C$8:$D$382, SMALL(IF($C$8:$C$382=($F$5+10), ROW($C$8:$C$382)-MIN(ROW($C$8:$C$382))+1), ROW(1:1)),2)</f>
        <v>Frame: 54 ----- Stem: Integrated ----- Carbon Aerobar (optional): + 5</v>
      </c>
      <c r="M33" t="str">
        <f>IFERROR(L33,"")</f>
        <v>Frame: 54 ----- Stem: Integrated ----- Carbon Aerobar (optional): + 5</v>
      </c>
      <c r="O33" t="str">
        <f t="array" ref="O33">IFERROR(INDEX(O$8:O$29,SMALL(IF(O$8:O$29&lt;&gt;"",ROW(O$8:O$29)-ROW(O$8)+1),ROWS(P$32:P33))),"")</f>
        <v>Frame: 51 ----- Stem: Integrated ----- Carbon Aerobar (optional): + 20</v>
      </c>
      <c r="P33" t="str">
        <f t="array" ref="P33">IFERROR(INDEX(P$8:P$29,SMALL(IF(P$8:P$29&lt;&gt;"",ROW(P$8:P$29)-ROW(P$8)+1),ROWS(Q$32:Q33))),"")</f>
        <v>Frame: 48 ----- Stem: Integrated ----- Carbon Aerobar (optional): + 30 + bridge + 5</v>
      </c>
      <c r="Q33" t="str">
        <f t="array" ref="Q33">IFERROR(INDEX(Q$8:Q$29,SMALL(IF(Q$8:Q$29&lt;&gt;"",ROW(Q$8:Q$29)-ROW(Q$8)+1),ROWS(R$26:R27))),"")</f>
        <v/>
      </c>
    </row>
    <row r="34" spans="3:20" x14ac:dyDescent="0.25">
      <c r="C34" s="6">
        <f>'IAx - XL'!D35</f>
        <v>685</v>
      </c>
      <c r="D34" s="6" t="str">
        <f>'IAx - XL'!B35</f>
        <v>Frame: 58 ----- Stem: Integrated ----- Carbon Aerobar (optional): + 40 + bridge</v>
      </c>
      <c r="E34" s="6">
        <f t="shared" si="9"/>
        <v>0</v>
      </c>
      <c r="F34" s="6" t="str">
        <f t="shared" si="12"/>
        <v/>
      </c>
      <c r="G34" s="6">
        <f t="shared" si="13"/>
        <v>1</v>
      </c>
      <c r="H34" s="6">
        <f t="shared" si="14"/>
        <v>-37</v>
      </c>
      <c r="I34" s="6">
        <f t="shared" si="1"/>
        <v>1</v>
      </c>
      <c r="J34" s="6" t="str">
        <f>'IAx - XL'!G35</f>
        <v xml:space="preserve">Stem Bolts: N/A ----- Aerobar Bolts: Top 35mm; Bottom 30mm </v>
      </c>
      <c r="K34" s="11">
        <v>1</v>
      </c>
      <c r="L34" t="str">
        <f t="array" ref="L34">INDEX($C$8:$D$382, SMALL(IF($C$8:$C$382=($F$5+10), ROW($C$8:$C$382)-MIN(ROW($C$8:$C$382))+1), ROW(2:2)),2)</f>
        <v>Frame: 51 ----- Stem: Integrated ----- Alloy Aerobar: + 5 + 10</v>
      </c>
      <c r="M34" t="str">
        <f t="shared" ref="M34:M42" si="15">IFERROR(L34,"")</f>
        <v>Frame: 51 ----- Stem: Integrated ----- Alloy Aerobar: + 5 + 10</v>
      </c>
      <c r="O34" t="str">
        <f t="array" ref="O34">IFERROR(INDEX(O$8:O$29,SMALL(IF(O$8:O$29&lt;&gt;"",ROW(O$8:O$29)-ROW(O$8)+1),ROWS(P$32:P34))),"")</f>
        <v>Frame: 48 ----- Stem: Integrated ----- Alloy Aerobar: + 20 + bridge + 5</v>
      </c>
      <c r="P34" t="str">
        <f t="array" ref="P34">IFERROR(INDEX(P$8:P$29,SMALL(IF(P$8:P$29&lt;&gt;"",ROW(P$8:P$29)-ROW(P$8)+1),ROWS(Q$32:Q34))),"")</f>
        <v/>
      </c>
      <c r="Q34" t="str">
        <f t="array" ref="Q34">IFERROR(INDEX(Q$8:Q$29,SMALL(IF(Q$8:Q$29&lt;&gt;"",ROW(Q$8:Q$29)-ROW(Q$8)+1),ROWS(R$26:R28))),"")</f>
        <v/>
      </c>
    </row>
    <row r="35" spans="3:20" x14ac:dyDescent="0.25">
      <c r="C35" s="6">
        <f>'IAx - XL'!D36</f>
        <v>690</v>
      </c>
      <c r="D35" s="6" t="str">
        <f>'IAx - XL'!B36</f>
        <v>Frame: 58 ----- Stem: Integrated ----- Carbon Aerobar (optional): + 40 + bridge + 5</v>
      </c>
      <c r="E35" s="6">
        <f t="shared" si="9"/>
        <v>0</v>
      </c>
      <c r="F35" s="6" t="str">
        <f t="shared" si="12"/>
        <v/>
      </c>
      <c r="G35" s="6">
        <f t="shared" si="13"/>
        <v>1</v>
      </c>
      <c r="H35" s="6">
        <f t="shared" si="14"/>
        <v>-37</v>
      </c>
      <c r="I35" s="6">
        <f t="shared" si="1"/>
        <v>1</v>
      </c>
      <c r="J35" s="6" t="str">
        <f>'IAx - XL'!G36</f>
        <v xml:space="preserve">Stem Bolts: N/A ----- Aerobar Bolts: Top 35mm; Bottom 30mm </v>
      </c>
      <c r="K35" s="11">
        <v>1</v>
      </c>
      <c r="L35" t="str">
        <f t="array" ref="L35">INDEX($C$8:$D$382, SMALL(IF($C$8:$C$382=($F$5+10), ROW($C$8:$C$382)-MIN(ROW($C$8:$C$382))+1), ROW(3:3)),2)</f>
        <v>Frame: 51 ----- Stem: Integrated ----- Carbon Aerobar (optional): + 20 + bridge + 5</v>
      </c>
      <c r="M35" t="str">
        <f t="shared" si="15"/>
        <v>Frame: 51 ----- Stem: Integrated ----- Carbon Aerobar (optional): + 20 + bridge + 5</v>
      </c>
      <c r="O35" t="str">
        <f t="array" ref="O35">IFERROR(INDEX(O$8:O$29,SMALL(IF(O$8:O$29&lt;&gt;"",ROW(O$8:O$29)-ROW(O$8)+1),ROWS(P$32:P35))),"")</f>
        <v/>
      </c>
      <c r="P35" t="str">
        <f t="array" ref="P35">IFERROR(INDEX(P$8:P$29,SMALL(IF(P$8:P$29&lt;&gt;"",ROW(P$8:P$29)-ROW(P$8)+1),ROWS(Q$32:Q35))),"")</f>
        <v/>
      </c>
      <c r="Q35" t="str">
        <f t="array" ref="Q35">IFERROR(INDEX(Q$8:Q$29,SMALL(IF(Q$8:Q$29&lt;&gt;"",ROW(Q$8:Q$29)-ROW(Q$8)+1),ROWS(R$26:R29))),"")</f>
        <v/>
      </c>
    </row>
    <row r="36" spans="3:20" x14ac:dyDescent="0.25">
      <c r="C36" s="6">
        <f>'IAx - XL'!D37</f>
        <v>695</v>
      </c>
      <c r="D36" s="6" t="str">
        <f>'IAx - XL'!B37</f>
        <v>Frame: 58 ----- Stem: Integrated ----- Carbon Aerobar (optional): + 40 + bridge + 10</v>
      </c>
      <c r="E36" s="6">
        <f t="shared" si="9"/>
        <v>0</v>
      </c>
      <c r="F36" s="6" t="str">
        <f t="shared" si="12"/>
        <v/>
      </c>
      <c r="G36" s="6">
        <f t="shared" si="13"/>
        <v>1</v>
      </c>
      <c r="H36" s="6">
        <f t="shared" si="14"/>
        <v>-37</v>
      </c>
      <c r="I36" s="6">
        <f t="shared" si="1"/>
        <v>1</v>
      </c>
      <c r="J36" s="6" t="str">
        <f>'IAx - XL'!G37</f>
        <v xml:space="preserve">Stem Bolts: N/A ----- Aerobar Bolts: Top 40mm; Bottom 30mm </v>
      </c>
      <c r="K36" s="11">
        <v>1</v>
      </c>
      <c r="L36" t="str">
        <f t="array" ref="L36">INDEX($C$8:$D$382, SMALL(IF($C$8:$C$382=($F$5+10), ROW($C$8:$C$382)-MIN(ROW($C$8:$C$382))+1), ROW(4:4)),2)</f>
        <v>Frame: 51 ----- Stem: Integrated ----- Carbon Aerobar (optional): + 30</v>
      </c>
      <c r="M36" t="str">
        <f t="shared" si="15"/>
        <v>Frame: 51 ----- Stem: Integrated ----- Carbon Aerobar (optional): + 30</v>
      </c>
      <c r="O36" t="str">
        <f t="array" ref="O36">IFERROR(INDEX(O$8:O$29,SMALL(IF(O$8:O$29&lt;&gt;"",ROW(O$8:O$29)-ROW(O$8)+1),ROWS(P$32:P36))),"")</f>
        <v/>
      </c>
      <c r="P36" t="str">
        <f t="array" ref="P36">IFERROR(INDEX(P$8:P$29,SMALL(IF(P$8:P$29&lt;&gt;"",ROW(P$8:P$29)-ROW(P$8)+1),ROWS(Q$32:Q36))),"")</f>
        <v/>
      </c>
      <c r="Q36" t="str">
        <f t="array" ref="Q36">IFERROR(INDEX(Q$8:Q$29,SMALL(IF(Q$8:Q$29&lt;&gt;"",ROW(Q$8:Q$29)-ROW(Q$8)+1),ROWS(R$26:R30))),"")</f>
        <v/>
      </c>
    </row>
    <row r="37" spans="3:20" x14ac:dyDescent="0.25">
      <c r="C37" s="6">
        <f>'IAx - XL'!D38</f>
        <v>700</v>
      </c>
      <c r="D37" s="6" t="str">
        <f>'IAx - XL'!B38</f>
        <v>Frame: 58 ----- Stem: Integrated ----- Carbon Aerobar (optional): + 40 + bridge + 5 + 10</v>
      </c>
      <c r="E37" s="6">
        <f t="shared" si="9"/>
        <v>0</v>
      </c>
      <c r="F37" s="6" t="str">
        <f t="shared" si="12"/>
        <v/>
      </c>
      <c r="G37" s="6">
        <f t="shared" si="13"/>
        <v>1</v>
      </c>
      <c r="H37" s="6">
        <f t="shared" si="14"/>
        <v>-37</v>
      </c>
      <c r="I37" s="6">
        <f t="shared" si="1"/>
        <v>1</v>
      </c>
      <c r="J37" s="6" t="str">
        <f>'IAx - XL'!G38</f>
        <v xml:space="preserve">Stem Bolts: N/A ----- Aerobar Bolts: Top 45mm; Bottom 30mm </v>
      </c>
      <c r="K37" s="11">
        <v>1</v>
      </c>
      <c r="L37" t="str">
        <f t="array" ref="L37">INDEX($C$8:$D$382, SMALL(IF($C$8:$C$382=($F$5+10), ROW($C$8:$C$382)-MIN(ROW($C$8:$C$382))+1), ROW(5:5)),2)</f>
        <v>Frame: 48 ----- Stem: Integrated ----- Alloy Aerobar: + 30 + bridge + 5</v>
      </c>
      <c r="M37" t="str">
        <f t="shared" si="15"/>
        <v>Frame: 48 ----- Stem: Integrated ----- Alloy Aerobar: + 30 + bridge + 5</v>
      </c>
      <c r="O37" t="str">
        <f t="array" ref="O37">IFERROR(INDEX(O$8:O$29,SMALL(IF(O$8:O$29&lt;&gt;"",ROW(O$8:O$29)-ROW(O$8)+1),ROWS(P$32:P37))),"")</f>
        <v/>
      </c>
      <c r="P37" t="str">
        <f t="array" ref="P37">IFERROR(INDEX(P$8:P$29,SMALL(IF(P$8:P$29&lt;&gt;"",ROW(P$8:P$29)-ROW(P$8)+1),ROWS(Q$32:Q37))),"")</f>
        <v/>
      </c>
      <c r="Q37" t="str">
        <f t="array" ref="Q37">IFERROR(INDEX(Q$8:Q$29,SMALL(IF(Q$8:Q$29&lt;&gt;"",ROW(Q$8:Q$29)-ROW(Q$8)+1),ROWS(R$26:R31))),"")</f>
        <v/>
      </c>
      <c r="T37" s="1"/>
    </row>
    <row r="38" spans="3:20" x14ac:dyDescent="0.25">
      <c r="C38" s="11">
        <f>'IAx - Large'!D9</f>
        <v>630</v>
      </c>
      <c r="D38" s="11" t="str">
        <f>'IAx - Large'!B9</f>
        <v xml:space="preserve">Frame: 56 ----- Stem: Integrated ----- Alloy Aerobar: </v>
      </c>
      <c r="E38" s="11">
        <f>$W$8*$X$8</f>
        <v>1</v>
      </c>
      <c r="F38" s="11" t="str">
        <f t="shared" ref="F38:F52" si="16">IF(ISNUMBER(FIND("30",D38)),1,"")</f>
        <v/>
      </c>
      <c r="G38" s="11" t="str">
        <f t="shared" ref="G38:G52" si="17">IF(ISNUMBER(FIND("40",D38)),1,"")</f>
        <v/>
      </c>
      <c r="H38" s="11">
        <f t="shared" ref="H38:H52" si="18">$E$4-$U$15</f>
        <v>-18</v>
      </c>
      <c r="I38" s="11">
        <f t="shared" si="1"/>
        <v>1</v>
      </c>
      <c r="J38" s="11" t="str">
        <f>'IAx - Large'!G9</f>
        <v xml:space="preserve">Stem Bolts: N/A ----- Aerobar Bolts: Top 20mm; Bottom N/A </v>
      </c>
      <c r="K38" s="11">
        <v>1</v>
      </c>
      <c r="L38" t="str">
        <f t="array" ref="L38">INDEX($C$8:$D$382, SMALL(IF($C$8:$C$382=($F$5+10), ROW($C$8:$C$382)-MIN(ROW($C$8:$C$382))+1), ROW(6:6)),2)</f>
        <v>Frame: 48 ----- Stem: Integrated ----- Carbon Aerobar (optional): + 40 + bridge + 5</v>
      </c>
      <c r="M38" t="str">
        <f t="shared" si="15"/>
        <v>Frame: 48 ----- Stem: Integrated ----- Carbon Aerobar (optional): + 40 + bridge + 5</v>
      </c>
      <c r="O38" t="str">
        <f t="array" ref="O38">IFERROR(INDEX(O$8:O$29,SMALL(IF(O$8:O$29&lt;&gt;"",ROW(O$8:O$29)-ROW(O$8)+1),ROWS(P$32:P38))),"")</f>
        <v/>
      </c>
      <c r="P38" t="str">
        <f t="array" ref="P38">IFERROR(INDEX(P$8:P$29,SMALL(IF(P$8:P$29&lt;&gt;"",ROW(P$8:P$29)-ROW(P$8)+1),ROWS(Q$32:Q38))),"")</f>
        <v/>
      </c>
      <c r="Q38" t="str">
        <f t="array" ref="Q38">IFERROR(INDEX(Q$8:Q$29,SMALL(IF(Q$8:Q$29&lt;&gt;"",ROW(Q$8:Q$29)-ROW(Q$8)+1),ROWS(R$26:R32))),"")</f>
        <v/>
      </c>
    </row>
    <row r="39" spans="3:20" x14ac:dyDescent="0.25">
      <c r="C39" s="11">
        <f>'IAx - Large'!D10</f>
        <v>635</v>
      </c>
      <c r="D39" s="11" t="str">
        <f>'IAx - Large'!B10</f>
        <v>Frame: 56 ----- Stem: Integrated ----- Alloy Aerobar: + 5</v>
      </c>
      <c r="E39" s="11">
        <f t="shared" ref="E39:E67" si="19">$W$8*$X$8</f>
        <v>1</v>
      </c>
      <c r="F39" s="11" t="str">
        <f t="shared" si="16"/>
        <v/>
      </c>
      <c r="G39" s="11" t="str">
        <f t="shared" si="17"/>
        <v/>
      </c>
      <c r="H39" s="11">
        <f t="shared" si="18"/>
        <v>-18</v>
      </c>
      <c r="I39" s="11">
        <f t="shared" si="1"/>
        <v>1</v>
      </c>
      <c r="J39" s="11" t="str">
        <f>'IAx - Large'!G10</f>
        <v xml:space="preserve">Stem Bolts: N/A ----- Aerobar Bolts: Top 25mm; Bottom N/A </v>
      </c>
      <c r="K39" s="11">
        <v>1</v>
      </c>
      <c r="L39" t="e">
        <f t="array" ref="L39">INDEX($C$8:$D$382, SMALL(IF($C$8:$C$382=($F$5+10), ROW($C$8:$C$382)-MIN(ROW($C$8:$C$382))+1), ROW(7:7)),2)</f>
        <v>#NUM!</v>
      </c>
      <c r="M39" t="str">
        <f t="shared" si="15"/>
        <v/>
      </c>
      <c r="O39" t="str">
        <f t="array" ref="O39">IFERROR(INDEX(O$8:O$29,SMALL(IF(O$8:O$29&lt;&gt;"",ROW(O$8:O$29)-ROW(O$8)+1),ROWS(P$32:P39))),"")</f>
        <v/>
      </c>
      <c r="P39" t="str">
        <f t="array" ref="P39">IFERROR(INDEX(P$8:P$29,SMALL(IF(P$8:P$29&lt;&gt;"",ROW(P$8:P$29)-ROW(P$8)+1),ROWS(Q$32:Q39))),"")</f>
        <v/>
      </c>
      <c r="Q39" t="str">
        <f t="array" ref="Q39">IFERROR(INDEX(Q$8:Q$29,SMALL(IF(Q$8:Q$29&lt;&gt;"",ROW(Q$8:Q$29)-ROW(Q$8)+1),ROWS(R$26:R33))),"")</f>
        <v/>
      </c>
    </row>
    <row r="40" spans="3:20" x14ac:dyDescent="0.25">
      <c r="C40" s="11">
        <f>'IAx - Large'!D11</f>
        <v>640</v>
      </c>
      <c r="D40" s="11" t="str">
        <f>'IAx - Large'!B11</f>
        <v>Frame: 56 ----- Stem: Integrated ----- Alloy Aerobar: + 10</v>
      </c>
      <c r="E40" s="11">
        <f t="shared" si="19"/>
        <v>1</v>
      </c>
      <c r="F40" s="11" t="str">
        <f t="shared" si="16"/>
        <v/>
      </c>
      <c r="G40" s="11" t="str">
        <f t="shared" si="17"/>
        <v/>
      </c>
      <c r="H40" s="11">
        <f t="shared" si="18"/>
        <v>-18</v>
      </c>
      <c r="I40" s="11">
        <f t="shared" si="1"/>
        <v>1</v>
      </c>
      <c r="J40" s="11" t="str">
        <f>'IAx - Large'!G11</f>
        <v xml:space="preserve">Stem Bolts: N/A ----- Aerobar Bolts: Top 30mm; Bottom N/A </v>
      </c>
      <c r="K40" s="11">
        <v>1</v>
      </c>
      <c r="L40" t="e">
        <f t="array" ref="L40">INDEX($C$8:$D$382, SMALL(IF($C$8:$C$382=($F$5+10), ROW($C$8:$C$382)-MIN(ROW($C$8:$C$382))+1), ROW(8:8)),2)</f>
        <v>#NUM!</v>
      </c>
      <c r="M40" t="str">
        <f t="shared" si="15"/>
        <v/>
      </c>
      <c r="O40" t="str">
        <f t="array" ref="O40">IFERROR(INDEX(O$8:O$29,SMALL(IF(O$8:O$29&lt;&gt;"",ROW(O$8:O$29)-ROW(O$8)+1),ROWS(P$32:P40))),"")</f>
        <v/>
      </c>
      <c r="P40" t="str">
        <f t="array" ref="P40">IFERROR(INDEX(P$8:P$29,SMALL(IF(P$8:P$29&lt;&gt;"",ROW(P$8:P$29)-ROW(P$8)+1),ROWS(Q$32:Q40))),"")</f>
        <v/>
      </c>
      <c r="Q40" t="str">
        <f t="array" ref="Q40">IFERROR(INDEX(Q$8:Q$29,SMALL(IF(Q$8:Q$29&lt;&gt;"",ROW(Q$8:Q$29)-ROW(Q$8)+1),ROWS(R$26:R34))),"")</f>
        <v/>
      </c>
    </row>
    <row r="41" spans="3:20" x14ac:dyDescent="0.25">
      <c r="C41" s="11">
        <f>'IAx - Large'!D12</f>
        <v>645</v>
      </c>
      <c r="D41" s="11" t="str">
        <f>'IAx - Large'!B12</f>
        <v>Frame: 56 ----- Stem: Integrated ----- Alloy Aerobar: + 5 + 10</v>
      </c>
      <c r="E41" s="11">
        <f t="shared" si="19"/>
        <v>1</v>
      </c>
      <c r="F41" s="11" t="str">
        <f t="shared" si="16"/>
        <v/>
      </c>
      <c r="G41" s="11" t="str">
        <f t="shared" si="17"/>
        <v/>
      </c>
      <c r="H41" s="11">
        <f t="shared" si="18"/>
        <v>-18</v>
      </c>
      <c r="I41" s="11">
        <f t="shared" si="1"/>
        <v>1</v>
      </c>
      <c r="J41" s="11" t="str">
        <f>'IAx - Large'!G12</f>
        <v xml:space="preserve">Stem Bolts: N/A ----- Aerobar Bolts: Top 35mm; Bottom N/A </v>
      </c>
      <c r="K41" s="11">
        <v>1</v>
      </c>
      <c r="L41" t="e">
        <f t="array" ref="L41">INDEX($C$8:$D$382, SMALL(IF($C$8:$C$382=($F$5+10), ROW($C$8:$C$382)-MIN(ROW($C$8:$C$382))+1), ROW(9:9)),2)</f>
        <v>#NUM!</v>
      </c>
      <c r="M41" t="str">
        <f t="shared" si="15"/>
        <v/>
      </c>
      <c r="O41" t="str">
        <f t="array" ref="O41">IFERROR(INDEX(O$8:O$29,SMALL(IF(O$8:O$29&lt;&gt;"",ROW(O$8:O$29)-ROW(O$8)+1),ROWS(P$32:P41))),"")</f>
        <v/>
      </c>
      <c r="P41" t="str">
        <f t="array" ref="P41">IFERROR(INDEX(P$8:P$29,SMALL(IF(P$8:P$29&lt;&gt;"",ROW(P$8:P$29)-ROW(P$8)+1),ROWS(Q$32:Q41))),"")</f>
        <v/>
      </c>
      <c r="Q41" t="str">
        <f t="array" ref="Q41">IFERROR(INDEX(Q$8:Q$29,SMALL(IF(Q$8:Q$29&lt;&gt;"",ROW(Q$8:Q$29)-ROW(Q$8)+1),ROWS(R$26:R35))),"")</f>
        <v/>
      </c>
    </row>
    <row r="42" spans="3:20" x14ac:dyDescent="0.25">
      <c r="C42" s="11">
        <f>'IAx - Large'!D13</f>
        <v>650</v>
      </c>
      <c r="D42" s="11" t="str">
        <f>'IAx - Large'!B13</f>
        <v>Frame: 56 ----- Stem: Integrated ----- Alloy Aerobar: + 20</v>
      </c>
      <c r="E42" s="11">
        <f t="shared" si="19"/>
        <v>1</v>
      </c>
      <c r="F42" s="11" t="str">
        <f t="shared" si="16"/>
        <v/>
      </c>
      <c r="G42" s="11" t="str">
        <f t="shared" si="17"/>
        <v/>
      </c>
      <c r="H42" s="11">
        <f t="shared" si="18"/>
        <v>-18</v>
      </c>
      <c r="I42" s="11">
        <f t="shared" si="1"/>
        <v>1</v>
      </c>
      <c r="J42" s="11" t="str">
        <f>'IAx - Large'!G13</f>
        <v xml:space="preserve">Stem Bolts: N/A ----- Aerobar Bolts: Top 20mm; Bottom 15mm </v>
      </c>
      <c r="K42" s="11">
        <v>1</v>
      </c>
      <c r="L42" t="s">
        <v>11</v>
      </c>
      <c r="M42" t="str">
        <f t="shared" si="15"/>
        <v xml:space="preserve"> </v>
      </c>
      <c r="O42" t="str">
        <f t="array" ref="O42">IFERROR(INDEX(O$8:O$29,SMALL(IF(O$8:O$29&lt;&gt;"",ROW(O$8:O$29)-ROW(O$8)+1),ROWS(P$32:P42))),"")</f>
        <v/>
      </c>
      <c r="P42" t="str">
        <f t="array" ref="P42">IFERROR(INDEX(P$8:P$29,SMALL(IF(P$8:P$29&lt;&gt;"",ROW(P$8:P$29)-ROW(P$8)+1),ROWS(Q$32:Q42))),"")</f>
        <v/>
      </c>
      <c r="Q42" t="str">
        <f t="array" ref="Q42">IFERROR(INDEX(Q$8:Q$29,SMALL(IF(Q$8:Q$29&lt;&gt;"",ROW(Q$8:Q$29)-ROW(Q$8)+1),ROWS(R$26:R36))),"")</f>
        <v/>
      </c>
    </row>
    <row r="43" spans="3:20" x14ac:dyDescent="0.25">
      <c r="C43" s="11">
        <f>'IAx - Large'!D14</f>
        <v>655</v>
      </c>
      <c r="D43" s="11" t="str">
        <f>'IAx - Large'!B14</f>
        <v xml:space="preserve">Frame: 56 ----- Stem: Integrated ----- Alloy Aerobar: + 20 + 5 </v>
      </c>
      <c r="E43" s="11">
        <f t="shared" si="19"/>
        <v>1</v>
      </c>
      <c r="F43" s="11" t="str">
        <f t="shared" si="16"/>
        <v/>
      </c>
      <c r="G43" s="11" t="str">
        <f t="shared" si="17"/>
        <v/>
      </c>
      <c r="H43" s="11">
        <f t="shared" si="18"/>
        <v>-18</v>
      </c>
      <c r="I43" s="11">
        <f t="shared" si="1"/>
        <v>1</v>
      </c>
      <c r="J43" s="11" t="str">
        <f>'IAx - Large'!G14</f>
        <v xml:space="preserve">Stem Bolts: N/A ----- Aerobar Bolts: Top 25mm; Bottom 15mm </v>
      </c>
      <c r="K43" s="11">
        <v>1</v>
      </c>
      <c r="L43" s="1" t="s">
        <v>123</v>
      </c>
      <c r="O43" t="str">
        <f t="array" ref="O43">IFERROR(INDEX(O$8:O$29,SMALL(IF(O$8:O$29&lt;&gt;"",ROW(O$8:O$29)-ROW(O$8)+1),ROWS(P$32:P43))),"")</f>
        <v/>
      </c>
      <c r="P43" t="str">
        <f t="array" ref="P43">IFERROR(INDEX(P$8:P$29,SMALL(IF(P$8:P$29&lt;&gt;"",ROW(P$8:P$29)-ROW(P$8)+1),ROWS(Q$32:Q43))),"")</f>
        <v/>
      </c>
      <c r="Q43" t="str">
        <f t="array" ref="Q43">IFERROR(INDEX(Q$8:Q$29,SMALL(IF(Q$8:Q$29&lt;&gt;"",ROW(Q$8:Q$29)-ROW(Q$8)+1),ROWS(R$26:R37))),"")</f>
        <v/>
      </c>
    </row>
    <row r="44" spans="3:20" x14ac:dyDescent="0.25">
      <c r="C44" s="11">
        <f>'IAx - Large'!D15</f>
        <v>655</v>
      </c>
      <c r="D44" s="11" t="str">
        <f>'IAx - Large'!B15</f>
        <v>Frame: 56 ----- Stem: Integrated ----- Alloy Aerobar: + 20 + bridge</v>
      </c>
      <c r="E44" s="11">
        <f t="shared" si="19"/>
        <v>1</v>
      </c>
      <c r="F44" s="11" t="str">
        <f t="shared" si="16"/>
        <v/>
      </c>
      <c r="G44" s="11" t="str">
        <f t="shared" si="17"/>
        <v/>
      </c>
      <c r="H44" s="11">
        <f t="shared" si="18"/>
        <v>-18</v>
      </c>
      <c r="I44" s="11">
        <f t="shared" si="1"/>
        <v>1</v>
      </c>
      <c r="J44" s="11" t="str">
        <f>'IAx - Large'!G15</f>
        <v xml:space="preserve">Stem Bolts: N/A ----- Aerobar Bolts: Top 25mm; Bottom 15mm </v>
      </c>
      <c r="K44" s="11">
        <v>1</v>
      </c>
      <c r="L44" t="str">
        <f t="array" ref="L44">INDEX($C$8:$D$382, SMALL(IF($C$8:$C$382=($F$5-10), ROW($C$8:$C$382)-MIN(ROW($C$8:$C$382))+1), ROW(1:1)),2)</f>
        <v>Frame: 51 ----- Stem: Integrated ----- Carbon Aerobar (optional): + 10</v>
      </c>
      <c r="M44" t="str">
        <f>IFERROR(L44,"")</f>
        <v>Frame: 51 ----- Stem: Integrated ----- Carbon Aerobar (optional): + 10</v>
      </c>
      <c r="O44" t="str">
        <f t="array" ref="O44">IFERROR(INDEX(O$8:O$29,SMALL(IF(O$8:O$29&lt;&gt;"",ROW(O$8:O$29)-ROW(O$8)+1),ROWS(P$32:P44))),"")</f>
        <v/>
      </c>
      <c r="P44" t="str">
        <f t="array" ref="P44">IFERROR(INDEX(P$8:P$29,SMALL(IF(P$8:P$29&lt;&gt;"",ROW(P$8:P$29)-ROW(P$8)+1),ROWS(Q$32:Q44))),"")</f>
        <v/>
      </c>
      <c r="Q44" t="str">
        <f t="array" ref="Q44">IFERROR(INDEX(Q$8:Q$29,SMALL(IF(Q$8:Q$29&lt;&gt;"",ROW(Q$8:Q$29)-ROW(Q$8)+1),ROWS(R$26:R38))),"")</f>
        <v/>
      </c>
    </row>
    <row r="45" spans="3:20" x14ac:dyDescent="0.25">
      <c r="C45" s="11">
        <f>'IAx - Large'!D16</f>
        <v>660</v>
      </c>
      <c r="D45" s="11" t="str">
        <f>'IAx - Large'!B16</f>
        <v>Frame: 56 ----- Stem: Integrated ----- Alloy Aerobar: + 20 + bridge + 5</v>
      </c>
      <c r="E45" s="11">
        <f t="shared" si="19"/>
        <v>1</v>
      </c>
      <c r="F45" s="11" t="str">
        <f t="shared" si="16"/>
        <v/>
      </c>
      <c r="G45" s="11" t="str">
        <f t="shared" si="17"/>
        <v/>
      </c>
      <c r="H45" s="11">
        <f t="shared" si="18"/>
        <v>-18</v>
      </c>
      <c r="I45" s="11">
        <f t="shared" si="1"/>
        <v>1</v>
      </c>
      <c r="J45" s="11" t="str">
        <f>'IAx - Large'!G16</f>
        <v xml:space="preserve">Stem Bolts: N/A ----- Aerobar Bolts: Top 25mm; Bottom 15mm </v>
      </c>
      <c r="K45" s="11">
        <v>1</v>
      </c>
      <c r="L45" t="str">
        <f t="array" ref="L45">INDEX($C$8:$D$382, SMALL(IF($C$8:$C$382=($F$5-10), ROW($C$8:$C$382)-MIN(ROW($C$8:$C$382))+1), ROW(2:2)),2)</f>
        <v>Frame: 48 ----- Stem: Integrated ----- Alloy Aerobar: + 20</v>
      </c>
      <c r="M45" t="str">
        <f t="shared" ref="M45:M52" si="20">IFERROR(L45,"")</f>
        <v>Frame: 48 ----- Stem: Integrated ----- Alloy Aerobar: + 20</v>
      </c>
      <c r="O45" t="str">
        <f t="array" ref="O45">IFERROR(INDEX(O$8:O$29,SMALL(IF(O$8:O$29&lt;&gt;"",ROW(O$8:O$29)-ROW(O$8)+1),ROWS(P$32:P45))),"")</f>
        <v/>
      </c>
      <c r="P45" t="str">
        <f t="array" ref="P45">IFERROR(INDEX(P$8:P$29,SMALL(IF(P$8:P$29&lt;&gt;"",ROW(P$8:P$29)-ROW(P$8)+1),ROWS(Q$32:Q45))),"")</f>
        <v/>
      </c>
      <c r="Q45" t="str">
        <f t="array" ref="Q45">IFERROR(INDEX(Q$8:Q$29,SMALL(IF(Q$8:Q$29&lt;&gt;"",ROW(Q$8:Q$29)-ROW(Q$8)+1),ROWS(R$26:R39))),"")</f>
        <v/>
      </c>
      <c r="T45" s="1"/>
    </row>
    <row r="46" spans="3:20" x14ac:dyDescent="0.25">
      <c r="C46" s="11">
        <f>'IAx - Large'!D17</f>
        <v>660</v>
      </c>
      <c r="D46" s="11" t="str">
        <f>'IAx - Large'!B17</f>
        <v>Frame: 56 ----- Stem: Integrated ----- Alloy Aerobar: + 30</v>
      </c>
      <c r="E46" s="11">
        <f t="shared" si="19"/>
        <v>1</v>
      </c>
      <c r="F46" s="11">
        <f t="shared" si="16"/>
        <v>1</v>
      </c>
      <c r="G46" s="11" t="str">
        <f t="shared" si="17"/>
        <v/>
      </c>
      <c r="H46" s="11">
        <f t="shared" si="18"/>
        <v>-18</v>
      </c>
      <c r="I46" s="11">
        <f t="shared" si="1"/>
        <v>1</v>
      </c>
      <c r="J46" s="11" t="str">
        <f>'IAx - Large'!G17</f>
        <v xml:space="preserve">Stem Bolts: N/A ----- Aerobar Bolts: Top 25mm; Bottom 15mm </v>
      </c>
      <c r="K46" s="11">
        <v>1</v>
      </c>
      <c r="L46" t="str">
        <f t="array" ref="L46">INDEX($C$8:$D$382, SMALL(IF($C$8:$C$382=($F$5-10), ROW($C$8:$C$382)-MIN(ROW($C$8:$C$382))+1), ROW(3:3)),2)</f>
        <v>Frame: 48 ----- Stem: Integrated ----- Carbon Aerobar (optional): + 20 + bridge + 5</v>
      </c>
      <c r="M46" t="str">
        <f t="shared" si="20"/>
        <v>Frame: 48 ----- Stem: Integrated ----- Carbon Aerobar (optional): + 20 + bridge + 5</v>
      </c>
      <c r="N46" s="3" t="s">
        <v>51</v>
      </c>
      <c r="O46" t="str">
        <f t="array" ref="O46">IFERROR(INDEX(O$8:O$29,SMALL(IF(O$8:O$29&lt;&gt;"",ROW(O$8:O$29)-ROW(O$8)+1),ROWS(P$32:P46))),"")</f>
        <v/>
      </c>
      <c r="P46" t="str">
        <f t="array" ref="P46">IFERROR(INDEX(P$8:P$22,SMALL(IF(P$8:P$22&lt;&gt;"",ROW(P$8:P$22)-ROW(P$8)+1),ROWS(Q$32:Q46))),"")</f>
        <v/>
      </c>
      <c r="Q46" t="str">
        <f t="array" ref="Q46">IFERROR(INDEX(Q$8:Q$29,SMALL(IF(Q$8:Q$29&lt;&gt;"",ROW(Q$8:Q$29)-ROW(Q$8)+1),ROWS(R$26:R40))),"")</f>
        <v/>
      </c>
    </row>
    <row r="47" spans="3:20" x14ac:dyDescent="0.25">
      <c r="C47" s="11">
        <f>'IAx - Large'!D18</f>
        <v>665</v>
      </c>
      <c r="D47" s="11" t="str">
        <f>'IAx - Large'!B18</f>
        <v>Frame: 56 ----- Stem: Integrated ----- Alloy Aerobar: + 30 + bridge</v>
      </c>
      <c r="E47" s="11">
        <f t="shared" si="19"/>
        <v>1</v>
      </c>
      <c r="F47" s="11">
        <f t="shared" si="16"/>
        <v>1</v>
      </c>
      <c r="G47" s="11" t="str">
        <f t="shared" si="17"/>
        <v/>
      </c>
      <c r="H47" s="11">
        <f t="shared" si="18"/>
        <v>-18</v>
      </c>
      <c r="I47" s="11">
        <f t="shared" si="1"/>
        <v>1</v>
      </c>
      <c r="J47" s="11" t="str">
        <f>'IAx - Large'!G18</f>
        <v xml:space="preserve">Stem Bolts: N/A ----- Aerobar Bolts: Top 30mm; Bottom 15mm </v>
      </c>
      <c r="K47" s="11">
        <v>1</v>
      </c>
      <c r="L47" t="str">
        <f t="array" ref="L47">INDEX($C$8:$D$382, SMALL(IF($C$8:$C$382=($F$5-10), ROW($C$8:$C$382)-MIN(ROW($C$8:$C$382))+1), ROW(4:4)),2)</f>
        <v>Frame: 48 ----- Stem: Integrated ----- Carbon Aerobar (optional): + 30</v>
      </c>
      <c r="M47" t="str">
        <f t="shared" si="20"/>
        <v>Frame: 48 ----- Stem: Integrated ----- Carbon Aerobar (optional): + 30</v>
      </c>
      <c r="O47" s="1" t="s">
        <v>36</v>
      </c>
      <c r="Q47" t="str">
        <f t="array" ref="Q47">IFERROR(INDEX(Q$8:Q$22,SMALL(IF(Q$8:Q$22&lt;&gt;"",ROW(Q$8:Q$22)-ROW(Q$8)+1),ROWS(R$26:R41))),"")</f>
        <v/>
      </c>
    </row>
    <row r="48" spans="3:20" x14ac:dyDescent="0.25">
      <c r="C48" s="11">
        <f>'IAx - Large'!D19</f>
        <v>670</v>
      </c>
      <c r="D48" s="11" t="str">
        <f>'IAx - Large'!B19</f>
        <v>Frame: 56 ----- Stem: Integrated ----- Alloy Aerobar: + 30 + bridge + 5</v>
      </c>
      <c r="E48" s="11">
        <f t="shared" si="19"/>
        <v>1</v>
      </c>
      <c r="F48" s="11">
        <f t="shared" si="16"/>
        <v>1</v>
      </c>
      <c r="G48" s="11" t="str">
        <f t="shared" si="17"/>
        <v/>
      </c>
      <c r="H48" s="11">
        <f t="shared" si="18"/>
        <v>-18</v>
      </c>
      <c r="I48" s="11">
        <f t="shared" si="1"/>
        <v>1</v>
      </c>
      <c r="J48" s="11" t="str">
        <f>'IAx - Large'!G19</f>
        <v xml:space="preserve">Stem Bolts: N/A ----- Aerobar Bolts: Top 30mm; Bottom 15mm </v>
      </c>
      <c r="K48" s="11">
        <v>1</v>
      </c>
      <c r="L48" t="e">
        <f t="array" ref="L48">INDEX($C$8:$D$382, SMALL(IF($C$8:$C$382=($F$5-10), ROW($C$8:$C$382)-MIN(ROW($C$8:$C$382))+1), ROW(5:5)),2)</f>
        <v>#NUM!</v>
      </c>
      <c r="M48" t="str">
        <f t="shared" si="20"/>
        <v/>
      </c>
      <c r="O48" s="1" t="s">
        <v>25</v>
      </c>
      <c r="P48" s="1" t="s">
        <v>26</v>
      </c>
      <c r="Q48" s="1" t="s">
        <v>27</v>
      </c>
    </row>
    <row r="49" spans="3:17" x14ac:dyDescent="0.25">
      <c r="C49" s="11">
        <f>'IAx - Large'!D20</f>
        <v>675</v>
      </c>
      <c r="D49" s="11" t="str">
        <f>'IAx - Large'!B20</f>
        <v>Frame: 56 ----- Stem: Integrated ----- Alloy Aerobar: + 40 + bridge</v>
      </c>
      <c r="E49" s="11">
        <f t="shared" si="19"/>
        <v>1</v>
      </c>
      <c r="F49" s="11" t="str">
        <f t="shared" si="16"/>
        <v/>
      </c>
      <c r="G49" s="11">
        <f t="shared" si="17"/>
        <v>1</v>
      </c>
      <c r="H49" s="11">
        <f t="shared" si="18"/>
        <v>-18</v>
      </c>
      <c r="I49" s="11">
        <f t="shared" si="1"/>
        <v>1</v>
      </c>
      <c r="J49" s="11" t="str">
        <f>'IAx - Large'!G20</f>
        <v xml:space="preserve">Stem Bolts: N/A ----- Aerobar Bolts: Top 35mm; Bottom 15mm </v>
      </c>
      <c r="K49" s="11">
        <v>1</v>
      </c>
      <c r="L49" t="e">
        <f t="array" ref="L49">INDEX($C$8:$D$382, SMALL(IF($C$8:$C$382=($F$5-10), ROW($C$8:$C$382)-MIN(ROW($C$8:$C$382))+1), ROW(6:6)),2)</f>
        <v>#NUM!</v>
      </c>
      <c r="M49" t="str">
        <f t="shared" si="20"/>
        <v/>
      </c>
      <c r="O49" s="2" t="str">
        <f t="shared" ref="O49:Q60" si="21">IF(O32="","",TEXT(O32,0)&amp;"  with reach: "&amp;IFERROR(VLOOKUP(O32,$D$8:$H$382,5,FALSE)&amp;" mm",""))</f>
        <v>Frame: 51 ----- Stem: Integrated ----- Alloy Aerobar: + 5  with reach: 11 mm</v>
      </c>
      <c r="P49" t="str">
        <f t="shared" si="21"/>
        <v>Frame: 48 ----- Stem: Integrated ----- Alloy Aerobar: + 30  with reach: 26 mm</v>
      </c>
      <c r="Q49" t="str">
        <f t="shared" si="21"/>
        <v/>
      </c>
    </row>
    <row r="50" spans="3:17" x14ac:dyDescent="0.25">
      <c r="C50" s="11">
        <f>'IAx - Large'!D21</f>
        <v>680</v>
      </c>
      <c r="D50" s="11" t="str">
        <f>'IAx - Large'!B21</f>
        <v>Frame: 56 ----- Stem: Integrated ----- Alloy Aerobar: + 40 + bridge + 5</v>
      </c>
      <c r="E50" s="11">
        <f t="shared" si="19"/>
        <v>1</v>
      </c>
      <c r="F50" s="11" t="str">
        <f t="shared" si="16"/>
        <v/>
      </c>
      <c r="G50" s="11">
        <f t="shared" si="17"/>
        <v>1</v>
      </c>
      <c r="H50" s="11">
        <f t="shared" si="18"/>
        <v>-18</v>
      </c>
      <c r="I50" s="11">
        <f t="shared" si="1"/>
        <v>1</v>
      </c>
      <c r="J50" s="11" t="str">
        <f>'IAx - Large'!G21</f>
        <v xml:space="preserve">Stem Bolts: N/A ----- Aerobar Bolts: Top 35mm; Bottom 15mm </v>
      </c>
      <c r="K50" s="11">
        <v>1</v>
      </c>
      <c r="L50" t="e">
        <f t="array" ref="L50">INDEX($C$8:$D$382, SMALL(IF($C$8:$C$382=($F$5-10), ROW($C$8:$C$382)-MIN(ROW($C$8:$C$382))+1), ROW(7:7)),2)</f>
        <v>#NUM!</v>
      </c>
      <c r="M50" t="str">
        <f t="shared" si="20"/>
        <v/>
      </c>
      <c r="O50" s="2" t="str">
        <f t="shared" si="21"/>
        <v>Frame: 51 ----- Stem: Integrated ----- Carbon Aerobar (optional): + 20  with reach: 11 mm</v>
      </c>
      <c r="P50" t="str">
        <f t="shared" si="21"/>
        <v>Frame: 48 ----- Stem: Integrated ----- Carbon Aerobar (optional): + 30 + bridge + 5  with reach: 26 mm</v>
      </c>
      <c r="Q50" t="str">
        <f t="shared" si="21"/>
        <v/>
      </c>
    </row>
    <row r="51" spans="3:17" x14ac:dyDescent="0.25">
      <c r="C51" s="11">
        <f>'IAx - Large'!D22</f>
        <v>685</v>
      </c>
      <c r="D51" s="11" t="str">
        <f>'IAx - Large'!B22</f>
        <v>Frame: 56 ----- Stem: Integrated ----- Alloy Aerobar: + 40 + bridge + 10</v>
      </c>
      <c r="E51" s="11">
        <f t="shared" si="19"/>
        <v>1</v>
      </c>
      <c r="F51" s="11" t="str">
        <f t="shared" si="16"/>
        <v/>
      </c>
      <c r="G51" s="11">
        <f t="shared" si="17"/>
        <v>1</v>
      </c>
      <c r="H51" s="11">
        <f t="shared" si="18"/>
        <v>-18</v>
      </c>
      <c r="I51" s="11">
        <f t="shared" si="1"/>
        <v>1</v>
      </c>
      <c r="J51" s="11" t="str">
        <f>'IAx - Large'!G22</f>
        <v xml:space="preserve">Stem Bolts: N/A ----- Aerobar Bolts: Top 35mm; Bottom 15mm </v>
      </c>
      <c r="K51" s="11">
        <v>1</v>
      </c>
      <c r="L51" t="e">
        <f t="array" ref="L51">INDEX($C$8:$D$382, SMALL(IF($C$8:$C$382=($F$5-10), ROW($C$8:$C$382)-MIN(ROW($C$8:$C$382))+1), ROW(8:8)),2)</f>
        <v>#NUM!</v>
      </c>
      <c r="M51" t="str">
        <f t="shared" si="20"/>
        <v/>
      </c>
      <c r="O51" s="2" t="str">
        <f t="shared" si="21"/>
        <v>Frame: 48 ----- Stem: Integrated ----- Alloy Aerobar: + 20 + bridge + 5  with reach: 26 mm</v>
      </c>
      <c r="P51" t="str">
        <f t="shared" si="21"/>
        <v/>
      </c>
      <c r="Q51" t="str">
        <f t="shared" si="21"/>
        <v/>
      </c>
    </row>
    <row r="52" spans="3:17" x14ac:dyDescent="0.25">
      <c r="C52" s="11">
        <f>'IAx - Large'!D23</f>
        <v>690</v>
      </c>
      <c r="D52" s="11" t="str">
        <f>'IAx - Large'!B23</f>
        <v>Frame: 56 ----- Stem: Integrated ----- Alloy Aerobar: + 40 + bridge + 5 + 10</v>
      </c>
      <c r="E52" s="11">
        <f t="shared" si="19"/>
        <v>1</v>
      </c>
      <c r="F52" s="11" t="str">
        <f t="shared" si="16"/>
        <v/>
      </c>
      <c r="G52" s="11">
        <f t="shared" si="17"/>
        <v>1</v>
      </c>
      <c r="H52" s="11">
        <f t="shared" si="18"/>
        <v>-18</v>
      </c>
      <c r="I52" s="11">
        <f t="shared" si="1"/>
        <v>1</v>
      </c>
      <c r="J52" s="11" t="str">
        <f>'IAx - Large'!G23</f>
        <v xml:space="preserve">Stem Bolts: N/A ----- Aerobar Bolts: Top 35mm; Bottom 25mm </v>
      </c>
      <c r="K52" s="11">
        <v>1</v>
      </c>
      <c r="L52" t="e">
        <f t="array" ref="L52">INDEX($C$8:$D$382, SMALL(IF($C$8:$C$382=($F$5-10), ROW($C$8:$C$382)-MIN(ROW($C$8:$C$382))+1), ROW(9:9)),2)</f>
        <v>#NUM!</v>
      </c>
      <c r="M52" t="str">
        <f t="shared" si="20"/>
        <v/>
      </c>
      <c r="O52" s="2" t="str">
        <f t="shared" si="21"/>
        <v/>
      </c>
      <c r="P52" t="str">
        <f t="shared" si="21"/>
        <v/>
      </c>
      <c r="Q52" t="str">
        <f t="shared" si="21"/>
        <v/>
      </c>
    </row>
    <row r="53" spans="3:17" x14ac:dyDescent="0.25">
      <c r="C53" s="6">
        <f>'IAx - Large'!D24</f>
        <v>0</v>
      </c>
      <c r="D53" s="6" t="str">
        <f>'IAx - Large'!B24</f>
        <v xml:space="preserve">Frame: 56 ----- Stem: Integrated ----- Carbon Aerobar (optional): </v>
      </c>
      <c r="E53" s="6">
        <f t="shared" si="19"/>
        <v>1</v>
      </c>
      <c r="F53" s="6" t="str">
        <f t="shared" ref="F53:F67" si="22">IF(ISNUMBER(FIND("30",D53)),1,"")</f>
        <v/>
      </c>
      <c r="G53" s="6" t="str">
        <f t="shared" ref="G53:G67" si="23">IF(ISNUMBER(FIND("40",D53)),1,"")</f>
        <v/>
      </c>
      <c r="H53" s="6">
        <f t="shared" ref="H53:H67" si="24">$E$4-$U$15</f>
        <v>-18</v>
      </c>
      <c r="I53" s="6">
        <f t="shared" si="1"/>
        <v>1</v>
      </c>
      <c r="J53" s="6" t="str">
        <f>'IAx - Large'!G24</f>
        <v xml:space="preserve">Stem Bolts: N/A ----- Aerobar Bolts: Top N/A; Bottom N/A </v>
      </c>
      <c r="K53" s="11">
        <v>1</v>
      </c>
      <c r="L53" t="s">
        <v>11</v>
      </c>
      <c r="O53" s="2" t="str">
        <f t="shared" si="21"/>
        <v/>
      </c>
      <c r="P53" t="str">
        <f t="shared" si="21"/>
        <v/>
      </c>
      <c r="Q53" t="str">
        <f t="shared" si="21"/>
        <v/>
      </c>
    </row>
    <row r="54" spans="3:17" x14ac:dyDescent="0.25">
      <c r="C54" s="6">
        <f>'IAx - Large'!D25</f>
        <v>625</v>
      </c>
      <c r="D54" s="6" t="str">
        <f>'IAx - Large'!B25</f>
        <v>Frame: 56 ----- Stem: Integrated ----- Carbon Aerobar (optional): + 5</v>
      </c>
      <c r="E54" s="6">
        <f t="shared" si="19"/>
        <v>1</v>
      </c>
      <c r="F54" s="6" t="str">
        <f t="shared" si="22"/>
        <v/>
      </c>
      <c r="G54" s="6" t="str">
        <f t="shared" si="23"/>
        <v/>
      </c>
      <c r="H54" s="6">
        <f t="shared" si="24"/>
        <v>-18</v>
      </c>
      <c r="I54" s="6">
        <f t="shared" si="1"/>
        <v>1</v>
      </c>
      <c r="J54" s="6" t="str">
        <f>'IAx - Large'!G25</f>
        <v xml:space="preserve">Stem Bolts: N/A ----- Aerobar Bolts: Top 45mm; Bottom N/A </v>
      </c>
      <c r="K54" s="11">
        <v>1</v>
      </c>
      <c r="L54" t="s">
        <v>11</v>
      </c>
      <c r="O54" s="2" t="str">
        <f t="shared" si="21"/>
        <v/>
      </c>
      <c r="P54" t="str">
        <f t="shared" si="21"/>
        <v/>
      </c>
      <c r="Q54" t="str">
        <f t="shared" si="21"/>
        <v/>
      </c>
    </row>
    <row r="55" spans="3:17" x14ac:dyDescent="0.25">
      <c r="C55" s="6">
        <f>'IAx - Large'!D26</f>
        <v>630</v>
      </c>
      <c r="D55" s="6" t="str">
        <f>'IAx - Large'!B26</f>
        <v>Frame: 56 ----- Stem: Integrated ----- Carbon Aerobar (optional): + 10</v>
      </c>
      <c r="E55" s="6">
        <f t="shared" si="19"/>
        <v>1</v>
      </c>
      <c r="F55" s="6" t="str">
        <f t="shared" si="22"/>
        <v/>
      </c>
      <c r="G55" s="6" t="str">
        <f t="shared" si="23"/>
        <v/>
      </c>
      <c r="H55" s="6">
        <f t="shared" si="24"/>
        <v>-18</v>
      </c>
      <c r="I55" s="6">
        <f t="shared" si="1"/>
        <v>1</v>
      </c>
      <c r="J55" s="6" t="str">
        <f>'IAx - Large'!G26</f>
        <v xml:space="preserve">Stem Bolts: N/A ----- Aerobar Bolts: Top 50mm; Bottom N/A </v>
      </c>
      <c r="K55" s="11">
        <v>1</v>
      </c>
      <c r="L55" t="s">
        <v>11</v>
      </c>
      <c r="O55" s="2" t="str">
        <f t="shared" si="21"/>
        <v/>
      </c>
      <c r="P55" t="str">
        <f t="shared" si="21"/>
        <v/>
      </c>
      <c r="Q55" t="str">
        <f t="shared" si="21"/>
        <v/>
      </c>
    </row>
    <row r="56" spans="3:17" x14ac:dyDescent="0.25">
      <c r="C56" s="6">
        <f>'IAx - Large'!D27</f>
        <v>635</v>
      </c>
      <c r="D56" s="6" t="str">
        <f>'IAx - Large'!B27</f>
        <v>Frame: 56 ----- Stem: Integrated ----- Carbon Aerobar (optional): + 5 + 10</v>
      </c>
      <c r="E56" s="6">
        <f t="shared" si="19"/>
        <v>1</v>
      </c>
      <c r="F56" s="6" t="str">
        <f t="shared" si="22"/>
        <v/>
      </c>
      <c r="G56" s="6" t="str">
        <f t="shared" si="23"/>
        <v/>
      </c>
      <c r="H56" s="6">
        <f t="shared" si="24"/>
        <v>-18</v>
      </c>
      <c r="I56" s="6">
        <f t="shared" si="1"/>
        <v>1</v>
      </c>
      <c r="J56" s="6" t="str">
        <f>'IAx - Large'!G27</f>
        <v xml:space="preserve">Stem Bolts: N/A ----- Aerobar Bolts: Top 55mm; Bottom N/A </v>
      </c>
      <c r="K56" s="11">
        <v>1</v>
      </c>
      <c r="L56" t="s">
        <v>11</v>
      </c>
      <c r="O56" s="2" t="str">
        <f t="shared" si="21"/>
        <v/>
      </c>
      <c r="P56" t="str">
        <f t="shared" si="21"/>
        <v/>
      </c>
      <c r="Q56" t="str">
        <f t="shared" si="21"/>
        <v/>
      </c>
    </row>
    <row r="57" spans="3:17" x14ac:dyDescent="0.25">
      <c r="C57" s="6">
        <f>'IAx - Large'!D28</f>
        <v>640</v>
      </c>
      <c r="D57" s="6" t="str">
        <f>'IAx - Large'!B28</f>
        <v>Frame: 56 ----- Stem: Integrated ----- Carbon Aerobar (optional): + 20</v>
      </c>
      <c r="E57" s="6">
        <f t="shared" si="19"/>
        <v>1</v>
      </c>
      <c r="F57" s="6" t="str">
        <f t="shared" si="22"/>
        <v/>
      </c>
      <c r="G57" s="6" t="str">
        <f t="shared" si="23"/>
        <v/>
      </c>
      <c r="H57" s="6">
        <f t="shared" si="24"/>
        <v>-18</v>
      </c>
      <c r="I57" s="6">
        <f t="shared" si="1"/>
        <v>1</v>
      </c>
      <c r="J57" s="6" t="str">
        <f>'IAx - Large'!G28</f>
        <v xml:space="preserve">Stem Bolts: N/A ----- Aerobar Bolts: Top 20mm; Bottom 30mm </v>
      </c>
      <c r="K57" s="11">
        <v>1</v>
      </c>
      <c r="L57" t="s">
        <v>11</v>
      </c>
      <c r="O57" s="2" t="str">
        <f t="shared" si="21"/>
        <v/>
      </c>
      <c r="P57" t="str">
        <f t="shared" si="21"/>
        <v/>
      </c>
      <c r="Q57" t="str">
        <f t="shared" si="21"/>
        <v/>
      </c>
    </row>
    <row r="58" spans="3:17" x14ac:dyDescent="0.25">
      <c r="C58" s="6">
        <f>'IAx - Large'!D29</f>
        <v>645</v>
      </c>
      <c r="D58" s="6" t="str">
        <f>'IAx - Large'!B29</f>
        <v xml:space="preserve">Frame: 56 ----- Stem: Integrated ----- Carbon Aerobar (optional): + 20 + 5 </v>
      </c>
      <c r="E58" s="6">
        <f t="shared" si="19"/>
        <v>1</v>
      </c>
      <c r="F58" s="6" t="str">
        <f t="shared" si="22"/>
        <v/>
      </c>
      <c r="G58" s="6" t="str">
        <f t="shared" si="23"/>
        <v/>
      </c>
      <c r="H58" s="6">
        <f t="shared" si="24"/>
        <v>-18</v>
      </c>
      <c r="I58" s="6">
        <f t="shared" si="1"/>
        <v>1</v>
      </c>
      <c r="J58" s="6" t="str">
        <f>'IAx - Large'!G29</f>
        <v xml:space="preserve">Stem Bolts: N/A ----- Aerobar Bolts: Top 25mm; Bottom 30mm </v>
      </c>
      <c r="K58" s="11">
        <v>1</v>
      </c>
      <c r="L58" t="s">
        <v>11</v>
      </c>
      <c r="O58" s="2" t="str">
        <f t="shared" si="21"/>
        <v/>
      </c>
      <c r="P58" t="str">
        <f t="shared" si="21"/>
        <v/>
      </c>
      <c r="Q58" t="str">
        <f t="shared" si="21"/>
        <v/>
      </c>
    </row>
    <row r="59" spans="3:17" x14ac:dyDescent="0.25">
      <c r="C59" s="6">
        <f>'IAx - Large'!D30</f>
        <v>645</v>
      </c>
      <c r="D59" s="6" t="str">
        <f>'IAx - Large'!B30</f>
        <v>Frame: 56 ----- Stem: Integrated ----- Carbon Aerobar (optional): + 20 + bridge</v>
      </c>
      <c r="E59" s="6">
        <f t="shared" si="19"/>
        <v>1</v>
      </c>
      <c r="F59" s="6" t="str">
        <f t="shared" si="22"/>
        <v/>
      </c>
      <c r="G59" s="6" t="str">
        <f t="shared" si="23"/>
        <v/>
      </c>
      <c r="H59" s="6">
        <f t="shared" si="24"/>
        <v>-18</v>
      </c>
      <c r="I59" s="6">
        <f t="shared" si="1"/>
        <v>1</v>
      </c>
      <c r="J59" s="6" t="str">
        <f>'IAx - Large'!G30</f>
        <v xml:space="preserve">Stem Bolts: N/A ----- Aerobar Bolts: Top 25mm; Bottom 30mm </v>
      </c>
      <c r="K59" s="11">
        <v>1</v>
      </c>
      <c r="L59" t="s">
        <v>11</v>
      </c>
      <c r="O59" s="2" t="str">
        <f t="shared" si="21"/>
        <v/>
      </c>
      <c r="P59" t="str">
        <f t="shared" si="21"/>
        <v/>
      </c>
      <c r="Q59" t="str">
        <f t="shared" si="21"/>
        <v/>
      </c>
    </row>
    <row r="60" spans="3:17" x14ac:dyDescent="0.25">
      <c r="C60" s="6">
        <f>'IAx - Large'!D31</f>
        <v>650</v>
      </c>
      <c r="D60" s="6" t="str">
        <f>'IAx - Large'!B31</f>
        <v>Frame: 56 ----- Stem: Integrated ----- Carbon Aerobar (optional): + 20 + bridge + 5</v>
      </c>
      <c r="E60" s="6">
        <f t="shared" si="19"/>
        <v>1</v>
      </c>
      <c r="F60" s="6" t="str">
        <f t="shared" si="22"/>
        <v/>
      </c>
      <c r="G60" s="6" t="str">
        <f t="shared" si="23"/>
        <v/>
      </c>
      <c r="H60" s="6">
        <f t="shared" si="24"/>
        <v>-18</v>
      </c>
      <c r="I60" s="6">
        <f t="shared" si="1"/>
        <v>1</v>
      </c>
      <c r="J60" s="6" t="str">
        <f>'IAx - Large'!G31</f>
        <v xml:space="preserve">Stem Bolts: N/A ----- Aerobar Bolts: Top 25mm; Bottom 30mm </v>
      </c>
      <c r="K60" s="11">
        <v>1</v>
      </c>
      <c r="L60" t="s">
        <v>11</v>
      </c>
      <c r="O60" s="2" t="str">
        <f t="shared" si="21"/>
        <v/>
      </c>
      <c r="P60" t="str">
        <f t="shared" si="21"/>
        <v/>
      </c>
      <c r="Q60" t="str">
        <f t="shared" si="21"/>
        <v/>
      </c>
    </row>
    <row r="61" spans="3:17" x14ac:dyDescent="0.25">
      <c r="C61" s="6">
        <f>'IAx - Large'!D32</f>
        <v>650</v>
      </c>
      <c r="D61" s="6" t="str">
        <f>'IAx - Large'!B32</f>
        <v>Frame: 56 ----- Stem: Integrated ----- Carbon Aerobar (optional): + 30</v>
      </c>
      <c r="E61" s="6">
        <f t="shared" si="19"/>
        <v>1</v>
      </c>
      <c r="F61" s="6">
        <f t="shared" si="22"/>
        <v>1</v>
      </c>
      <c r="G61" s="6" t="str">
        <f t="shared" si="23"/>
        <v/>
      </c>
      <c r="H61" s="6">
        <f t="shared" si="24"/>
        <v>-18</v>
      </c>
      <c r="I61" s="6">
        <f t="shared" si="1"/>
        <v>1</v>
      </c>
      <c r="J61" s="6" t="str">
        <f>'IAx - Large'!G32</f>
        <v xml:space="preserve">Stem Bolts: N/A ----- Aerobar Bolts: Top 30mm; Bottom 30mm </v>
      </c>
      <c r="K61" s="11">
        <v>1</v>
      </c>
      <c r="L61" t="s">
        <v>11</v>
      </c>
      <c r="N61" s="3" t="s">
        <v>51</v>
      </c>
    </row>
    <row r="62" spans="3:17" x14ac:dyDescent="0.25">
      <c r="C62" s="6">
        <f>'IAx - Large'!D33</f>
        <v>655</v>
      </c>
      <c r="D62" s="6" t="str">
        <f>'IAx - Large'!B33</f>
        <v>Frame: 56 ----- Stem: Integrated ----- Carbon Aerobar (optional): + 30 + bridge</v>
      </c>
      <c r="E62" s="6">
        <f t="shared" si="19"/>
        <v>1</v>
      </c>
      <c r="F62" s="6">
        <f t="shared" si="22"/>
        <v>1</v>
      </c>
      <c r="G62" s="6" t="str">
        <f t="shared" si="23"/>
        <v/>
      </c>
      <c r="H62" s="6">
        <f t="shared" si="24"/>
        <v>-18</v>
      </c>
      <c r="I62" s="6">
        <f t="shared" si="1"/>
        <v>1</v>
      </c>
      <c r="J62" s="6" t="str">
        <f>'IAx - Large'!G33</f>
        <v xml:space="preserve">Stem Bolts: N/A ----- Aerobar Bolts: Top 30mm; Bottom 30mm </v>
      </c>
      <c r="K62" s="11">
        <v>1</v>
      </c>
      <c r="L62" t="s">
        <v>11</v>
      </c>
      <c r="O62" s="1" t="s">
        <v>52</v>
      </c>
    </row>
    <row r="63" spans="3:17" x14ac:dyDescent="0.25">
      <c r="C63" s="6">
        <f>'IAx - Large'!D34</f>
        <v>660</v>
      </c>
      <c r="D63" s="6" t="str">
        <f>'IAx - Large'!B34</f>
        <v>Frame: 56 ----- Stem: Integrated ----- Carbon Aerobar (optional): + 30 + bridge + 5</v>
      </c>
      <c r="E63" s="6">
        <f t="shared" si="19"/>
        <v>1</v>
      </c>
      <c r="F63" s="6">
        <f t="shared" si="22"/>
        <v>1</v>
      </c>
      <c r="G63" s="6" t="str">
        <f t="shared" si="23"/>
        <v/>
      </c>
      <c r="H63" s="6">
        <f t="shared" si="24"/>
        <v>-18</v>
      </c>
      <c r="I63" s="6">
        <f t="shared" si="1"/>
        <v>1</v>
      </c>
      <c r="J63" s="6" t="str">
        <f>'IAx - Large'!G34</f>
        <v xml:space="preserve">Stem Bolts: N/A ----- Aerobar Bolts: Top 35mm; Bottom 30mm </v>
      </c>
      <c r="K63" s="11">
        <v>1</v>
      </c>
      <c r="L63" t="s">
        <v>11</v>
      </c>
      <c r="O63" s="1" t="s">
        <v>25</v>
      </c>
      <c r="P63" s="1" t="s">
        <v>26</v>
      </c>
      <c r="Q63" s="1" t="s">
        <v>27</v>
      </c>
    </row>
    <row r="64" spans="3:17" x14ac:dyDescent="0.25">
      <c r="C64" s="6">
        <f>'IAx - Large'!D35</f>
        <v>665</v>
      </c>
      <c r="D64" s="6" t="str">
        <f>'IAx - Large'!B35</f>
        <v>Frame: 56 ----- Stem: Integrated ----- Carbon Aerobar (optional): + 40 + bridge</v>
      </c>
      <c r="E64" s="6">
        <f t="shared" si="19"/>
        <v>1</v>
      </c>
      <c r="F64" s="6" t="str">
        <f t="shared" si="22"/>
        <v/>
      </c>
      <c r="G64" s="6">
        <f t="shared" si="23"/>
        <v>1</v>
      </c>
      <c r="H64" s="6">
        <f t="shared" si="24"/>
        <v>-18</v>
      </c>
      <c r="I64" s="6">
        <f t="shared" si="1"/>
        <v>1</v>
      </c>
      <c r="J64" s="6" t="str">
        <f>'IAx - Large'!G35</f>
        <v xml:space="preserve">Stem Bolts: N/A ----- Aerobar Bolts: Top 35mm; Bottom 30mm </v>
      </c>
      <c r="K64" s="11">
        <v>1</v>
      </c>
      <c r="L64" t="s">
        <v>11</v>
      </c>
      <c r="O64" t="str">
        <f t="shared" ref="O64:Q75" si="25">IFERROR(VLOOKUP(O32,$D$8:$J$382,7,FALSE),"")</f>
        <v xml:space="preserve">Stem Bolts: N/A ----- Aerobar Bolts: Top 25mm; Bottom N/A </v>
      </c>
      <c r="P64" t="str">
        <f t="shared" si="25"/>
        <v xml:space="preserve">Stem Bolts: N/A ----- Aerobar Bolts: Top 25mm; Bottom 15mm </v>
      </c>
      <c r="Q64" t="str">
        <f t="shared" si="25"/>
        <v/>
      </c>
    </row>
    <row r="65" spans="3:21" x14ac:dyDescent="0.25">
      <c r="C65" s="6">
        <f>'IAx - Large'!D36</f>
        <v>670</v>
      </c>
      <c r="D65" s="6" t="str">
        <f>'IAx - Large'!B36</f>
        <v>Frame: 56 ----- Stem: Integrated ----- Carbon Aerobar (optional): + 40 + bridge + 5</v>
      </c>
      <c r="E65" s="6">
        <f t="shared" si="19"/>
        <v>1</v>
      </c>
      <c r="F65" s="6" t="str">
        <f t="shared" si="22"/>
        <v/>
      </c>
      <c r="G65" s="6">
        <f t="shared" si="23"/>
        <v>1</v>
      </c>
      <c r="H65" s="6">
        <f t="shared" si="24"/>
        <v>-18</v>
      </c>
      <c r="I65" s="6">
        <f t="shared" si="1"/>
        <v>1</v>
      </c>
      <c r="J65" s="6" t="str">
        <f>'IAx - Large'!G36</f>
        <v xml:space="preserve">Stem Bolts: N/A ----- Aerobar Bolts: Top 35mm; Bottom 30mm </v>
      </c>
      <c r="K65" s="11">
        <v>1</v>
      </c>
      <c r="L65" t="s">
        <v>11</v>
      </c>
      <c r="O65" t="str">
        <f t="shared" si="25"/>
        <v xml:space="preserve">Stem Bolts: N/A ----- Aerobar Bolts: Top 20mm; Bottom 30mm </v>
      </c>
      <c r="P65" t="str">
        <f t="shared" si="25"/>
        <v xml:space="preserve">Stem Bolts: N/A ----- Aerobar Bolts: Top 35mm; Bottom 30mm </v>
      </c>
      <c r="Q65" t="str">
        <f t="shared" si="25"/>
        <v/>
      </c>
    </row>
    <row r="66" spans="3:21" x14ac:dyDescent="0.25">
      <c r="C66" s="6">
        <f>'IAx - Large'!D37</f>
        <v>675</v>
      </c>
      <c r="D66" s="6" t="str">
        <f>'IAx - Large'!B37</f>
        <v>Frame: 56 ----- Stem: Integrated ----- Carbon Aerobar (optional): + 40 + bridge + 10</v>
      </c>
      <c r="E66" s="6">
        <f t="shared" si="19"/>
        <v>1</v>
      </c>
      <c r="F66" s="6" t="str">
        <f t="shared" si="22"/>
        <v/>
      </c>
      <c r="G66" s="6">
        <f t="shared" si="23"/>
        <v>1</v>
      </c>
      <c r="H66" s="6">
        <f t="shared" si="24"/>
        <v>-18</v>
      </c>
      <c r="I66" s="6">
        <f t="shared" si="1"/>
        <v>1</v>
      </c>
      <c r="J66" s="6" t="str">
        <f>'IAx - Large'!G37</f>
        <v xml:space="preserve">Stem Bolts: N/A ----- Aerobar Bolts: Top 40mm; Bottom 30mm </v>
      </c>
      <c r="K66" s="11">
        <v>1</v>
      </c>
      <c r="L66" t="s">
        <v>11</v>
      </c>
      <c r="O66" t="str">
        <f t="shared" si="25"/>
        <v xml:space="preserve">Stem Bolts: N/A ----- Aerobar Bolts: Top 25mm; Bottom 15mm </v>
      </c>
      <c r="P66" t="str">
        <f t="shared" si="25"/>
        <v/>
      </c>
      <c r="Q66" t="str">
        <f t="shared" si="25"/>
        <v/>
      </c>
    </row>
    <row r="67" spans="3:21" x14ac:dyDescent="0.25">
      <c r="C67" s="6">
        <f>'IAx - Large'!D38</f>
        <v>680</v>
      </c>
      <c r="D67" s="6" t="str">
        <f>'IAx - Large'!B38</f>
        <v>Frame: 56 ----- Stem: Integrated ----- Carbon Aerobar (optional): + 40 + bridge + 5 + 10</v>
      </c>
      <c r="E67" s="6">
        <f t="shared" si="19"/>
        <v>1</v>
      </c>
      <c r="F67" s="6" t="str">
        <f t="shared" si="22"/>
        <v/>
      </c>
      <c r="G67" s="6">
        <f t="shared" si="23"/>
        <v>1</v>
      </c>
      <c r="H67" s="6">
        <f t="shared" si="24"/>
        <v>-18</v>
      </c>
      <c r="I67" s="6">
        <f t="shared" si="1"/>
        <v>1</v>
      </c>
      <c r="J67" s="6" t="str">
        <f>'IAx - Large'!G38</f>
        <v xml:space="preserve">Stem Bolts: N/A ----- Aerobar Bolts: Top 45mm; Bottom 30mm </v>
      </c>
      <c r="K67" s="11">
        <v>1</v>
      </c>
      <c r="L67" t="s">
        <v>11</v>
      </c>
      <c r="O67" t="str">
        <f t="shared" si="25"/>
        <v/>
      </c>
      <c r="P67" t="str">
        <f t="shared" si="25"/>
        <v/>
      </c>
      <c r="Q67" t="str">
        <f t="shared" si="25"/>
        <v/>
      </c>
    </row>
    <row r="68" spans="3:21" x14ac:dyDescent="0.25">
      <c r="C68" s="11">
        <f>'IAx - Medium'!D9</f>
        <v>605</v>
      </c>
      <c r="D68" s="11" t="str">
        <f>'IAx - Medium'!B9</f>
        <v xml:space="preserve">Frame: 54 ----- Stem: Integrated ----- Alloy Aerobar: </v>
      </c>
      <c r="E68" s="11">
        <f>$W$7*$X$7</f>
        <v>1</v>
      </c>
      <c r="F68" s="11" t="str">
        <f t="shared" ref="F68:F82" si="26">IF(ISNUMBER(FIND("30",D68)),1,"")</f>
        <v/>
      </c>
      <c r="G68" s="11" t="str">
        <f t="shared" ref="G68:G82" si="27">IF(ISNUMBER(FIND("40",D68)),1,"")</f>
        <v/>
      </c>
      <c r="H68" s="11">
        <f t="shared" ref="H68:H82" si="28">$E$4-$U$14</f>
        <v>0</v>
      </c>
      <c r="I68" s="11">
        <f t="shared" si="1"/>
        <v>1</v>
      </c>
      <c r="J68" s="11" t="str">
        <f>'IAx - Medium'!G9</f>
        <v xml:space="preserve">Stem Bolts: N/A ----- Aerobar Bolts: Top 20mm; Bottom N/A </v>
      </c>
      <c r="K68" s="11">
        <v>1</v>
      </c>
      <c r="O68" t="str">
        <f t="shared" si="25"/>
        <v/>
      </c>
      <c r="P68" t="str">
        <f t="shared" si="25"/>
        <v/>
      </c>
      <c r="Q68" t="str">
        <f t="shared" si="25"/>
        <v/>
      </c>
      <c r="U68" t="str">
        <f t="array" ref="U68">IFERROR(INDEX(U$29:U$54,SMALL(IF(U$29:U$54&lt;&gt;"",ROW(U$29:U$54)-ROW(U$29)+1),ROWS(U$57:U68))),"")</f>
        <v/>
      </c>
    </row>
    <row r="69" spans="3:21" x14ac:dyDescent="0.25">
      <c r="C69" s="11">
        <f>'IAx - Medium'!D10</f>
        <v>610</v>
      </c>
      <c r="D69" s="11" t="str">
        <f>'IAx - Medium'!B10</f>
        <v>Frame: 54 ----- Stem: Integrated ----- Alloy Aerobar: + 5</v>
      </c>
      <c r="E69" s="11">
        <f t="shared" ref="E69:E97" si="29">$W$7*$X$7</f>
        <v>1</v>
      </c>
      <c r="F69" s="11" t="str">
        <f t="shared" si="26"/>
        <v/>
      </c>
      <c r="G69" s="11" t="str">
        <f t="shared" si="27"/>
        <v/>
      </c>
      <c r="H69" s="11">
        <f t="shared" si="28"/>
        <v>0</v>
      </c>
      <c r="I69" s="11">
        <f t="shared" si="1"/>
        <v>1</v>
      </c>
      <c r="J69" s="11" t="str">
        <f>'IAx - Medium'!G10</f>
        <v xml:space="preserve">Stem Bolts: N/A ----- Aerobar Bolts: Top 25mm; Bottom N/A </v>
      </c>
      <c r="K69" s="11">
        <v>1</v>
      </c>
      <c r="O69" t="str">
        <f t="shared" si="25"/>
        <v/>
      </c>
      <c r="P69" t="str">
        <f t="shared" si="25"/>
        <v/>
      </c>
      <c r="Q69" t="str">
        <f t="shared" si="25"/>
        <v/>
      </c>
      <c r="U69" t="str">
        <f t="array" ref="U69">IFERROR(INDEX(U$29:U$54,SMALL(IF(U$29:U$54&lt;&gt;"",ROW(U$29:U$54)-ROW(U$29)+1),ROWS(U$57:U69))),"")</f>
        <v/>
      </c>
    </row>
    <row r="70" spans="3:21" x14ac:dyDescent="0.25">
      <c r="C70" s="11">
        <f>'IAx - Medium'!D11</f>
        <v>615</v>
      </c>
      <c r="D70" s="11" t="str">
        <f>'IAx - Medium'!B11</f>
        <v>Frame: 54 ----- Stem: Integrated ----- Alloy Aerobar: + 10</v>
      </c>
      <c r="E70" s="11">
        <f t="shared" si="29"/>
        <v>1</v>
      </c>
      <c r="F70" s="11" t="str">
        <f t="shared" si="26"/>
        <v/>
      </c>
      <c r="G70" s="11" t="str">
        <f t="shared" si="27"/>
        <v/>
      </c>
      <c r="H70" s="11">
        <f t="shared" si="28"/>
        <v>0</v>
      </c>
      <c r="I70" s="11">
        <f t="shared" si="1"/>
        <v>1</v>
      </c>
      <c r="J70" s="11" t="str">
        <f>'IAx - Medium'!G11</f>
        <v xml:space="preserve">Stem Bolts: N/A ----- Aerobar Bolts: Top 30mm; Bottom N/A </v>
      </c>
      <c r="K70" s="11">
        <v>1</v>
      </c>
      <c r="O70" t="str">
        <f t="shared" si="25"/>
        <v/>
      </c>
      <c r="P70" t="str">
        <f t="shared" si="25"/>
        <v/>
      </c>
      <c r="Q70" t="str">
        <f t="shared" si="25"/>
        <v/>
      </c>
      <c r="U70" t="str">
        <f t="array" ref="U70">IFERROR(INDEX(U$29:U$54,SMALL(IF(U$29:U$54&lt;&gt;"",ROW(U$29:U$54)-ROW(U$29)+1),ROWS(U$57:U70))),"")</f>
        <v/>
      </c>
    </row>
    <row r="71" spans="3:21" x14ac:dyDescent="0.25">
      <c r="C71" s="11">
        <f>'IAx - Medium'!D12</f>
        <v>620</v>
      </c>
      <c r="D71" s="11" t="str">
        <f>'IAx - Medium'!B12</f>
        <v>Frame: 54 ----- Stem: Integrated ----- Alloy Aerobar: + 5 + 10</v>
      </c>
      <c r="E71" s="11">
        <f t="shared" si="29"/>
        <v>1</v>
      </c>
      <c r="F71" s="11" t="str">
        <f t="shared" si="26"/>
        <v/>
      </c>
      <c r="G71" s="11" t="str">
        <f t="shared" si="27"/>
        <v/>
      </c>
      <c r="H71" s="11">
        <f t="shared" si="28"/>
        <v>0</v>
      </c>
      <c r="I71" s="11">
        <f t="shared" si="1"/>
        <v>1</v>
      </c>
      <c r="J71" s="11" t="str">
        <f>'IAx - Medium'!G12</f>
        <v xml:space="preserve">Stem Bolts: N/A ----- Aerobar Bolts: Top 35mm; Bottom N/A </v>
      </c>
      <c r="K71" s="11">
        <v>1</v>
      </c>
      <c r="O71" t="str">
        <f t="shared" si="25"/>
        <v/>
      </c>
      <c r="P71" t="str">
        <f t="shared" si="25"/>
        <v/>
      </c>
      <c r="Q71" t="str">
        <f t="shared" si="25"/>
        <v/>
      </c>
      <c r="U71" t="str">
        <f t="array" ref="U71">IFERROR(INDEX(U$29:U$54,SMALL(IF(U$29:U$54&lt;&gt;"",ROW(U$29:U$54)-ROW(U$29)+1),ROWS(U$57:U71))),"")</f>
        <v/>
      </c>
    </row>
    <row r="72" spans="3:21" x14ac:dyDescent="0.25">
      <c r="C72" s="11">
        <f>'IAx - Medium'!D13</f>
        <v>625</v>
      </c>
      <c r="D72" s="11" t="str">
        <f>'IAx - Medium'!B13</f>
        <v>Frame: 54 ----- Stem: Integrated ----- Alloy Aerobar: + 20</v>
      </c>
      <c r="E72" s="11">
        <f t="shared" si="29"/>
        <v>1</v>
      </c>
      <c r="F72" s="11" t="str">
        <f t="shared" si="26"/>
        <v/>
      </c>
      <c r="G72" s="11" t="str">
        <f t="shared" si="27"/>
        <v/>
      </c>
      <c r="H72" s="11">
        <f t="shared" si="28"/>
        <v>0</v>
      </c>
      <c r="I72" s="11">
        <f t="shared" si="1"/>
        <v>1</v>
      </c>
      <c r="J72" s="11" t="str">
        <f>'IAx - Medium'!G13</f>
        <v xml:space="preserve">Stem Bolts: N/A ----- Aerobar Bolts: Top 20mm; Bottom 15mm </v>
      </c>
      <c r="K72" s="11">
        <v>1</v>
      </c>
      <c r="O72" t="str">
        <f t="shared" si="25"/>
        <v/>
      </c>
      <c r="P72" t="str">
        <f t="shared" si="25"/>
        <v/>
      </c>
      <c r="Q72" t="str">
        <f t="shared" si="25"/>
        <v/>
      </c>
      <c r="U72" t="str">
        <f t="array" ref="U72">IFERROR(INDEX(U$29:U$54,SMALL(IF(U$29:U$54&lt;&gt;"",ROW(U$29:U$54)-ROW(U$29)+1),ROWS(U$57:U72))),"")</f>
        <v/>
      </c>
    </row>
    <row r="73" spans="3:21" x14ac:dyDescent="0.25">
      <c r="C73" s="11">
        <f>'IAx - Medium'!D14</f>
        <v>630</v>
      </c>
      <c r="D73" s="11" t="str">
        <f>'IAx - Medium'!B14</f>
        <v xml:space="preserve">Frame: 54 ----- Stem: Integrated ----- Alloy Aerobar: + 20 + 5 </v>
      </c>
      <c r="E73" s="11">
        <f t="shared" si="29"/>
        <v>1</v>
      </c>
      <c r="F73" s="11" t="str">
        <f t="shared" si="26"/>
        <v/>
      </c>
      <c r="G73" s="11" t="str">
        <f t="shared" si="27"/>
        <v/>
      </c>
      <c r="H73" s="11">
        <f t="shared" si="28"/>
        <v>0</v>
      </c>
      <c r="I73" s="11">
        <f t="shared" si="1"/>
        <v>1</v>
      </c>
      <c r="J73" s="11" t="str">
        <f>'IAx - Medium'!G14</f>
        <v xml:space="preserve">Stem Bolts: N/A ----- Aerobar Bolts: Top 25mm; Bottom 15mm </v>
      </c>
      <c r="K73" s="11">
        <v>1</v>
      </c>
      <c r="O73" t="str">
        <f t="shared" si="25"/>
        <v/>
      </c>
      <c r="P73" t="str">
        <f t="shared" si="25"/>
        <v/>
      </c>
      <c r="Q73" t="str">
        <f t="shared" si="25"/>
        <v/>
      </c>
      <c r="U73" t="str">
        <f t="array" ref="U73">IFERROR(INDEX(U$29:U$54,SMALL(IF(U$29:U$54&lt;&gt;"",ROW(U$29:U$54)-ROW(U$29)+1),ROWS(U$57:U73))),"")</f>
        <v/>
      </c>
    </row>
    <row r="74" spans="3:21" x14ac:dyDescent="0.25">
      <c r="C74" s="11">
        <f>'IAx - Medium'!D15</f>
        <v>630</v>
      </c>
      <c r="D74" s="11" t="str">
        <f>'IAx - Medium'!B15</f>
        <v>Frame: 54 ----- Stem: Integrated ----- Alloy Aerobar: + 20 + bridge</v>
      </c>
      <c r="E74" s="11">
        <f t="shared" si="29"/>
        <v>1</v>
      </c>
      <c r="F74" s="11" t="str">
        <f t="shared" si="26"/>
        <v/>
      </c>
      <c r="G74" s="11" t="str">
        <f t="shared" si="27"/>
        <v/>
      </c>
      <c r="H74" s="11">
        <f t="shared" si="28"/>
        <v>0</v>
      </c>
      <c r="I74" s="11">
        <f t="shared" si="1"/>
        <v>1</v>
      </c>
      <c r="J74" s="11" t="str">
        <f>'IAx - Medium'!G15</f>
        <v xml:space="preserve">Stem Bolts: N/A ----- Aerobar Bolts: Top 25mm; Bottom 15mm </v>
      </c>
      <c r="K74" s="11">
        <v>1</v>
      </c>
      <c r="O74" t="str">
        <f t="shared" si="25"/>
        <v/>
      </c>
      <c r="P74" t="str">
        <f t="shared" si="25"/>
        <v/>
      </c>
      <c r="Q74" t="str">
        <f t="shared" si="25"/>
        <v/>
      </c>
    </row>
    <row r="75" spans="3:21" x14ac:dyDescent="0.25">
      <c r="C75" s="11">
        <f>'IAx - Medium'!D16</f>
        <v>635</v>
      </c>
      <c r="D75" s="11" t="str">
        <f>'IAx - Medium'!B16</f>
        <v>Frame: 54 ----- Stem: Integrated ----- Alloy Aerobar: + 20 + bridge + 5</v>
      </c>
      <c r="E75" s="11">
        <f t="shared" si="29"/>
        <v>1</v>
      </c>
      <c r="F75" s="11" t="str">
        <f t="shared" si="26"/>
        <v/>
      </c>
      <c r="G75" s="11" t="str">
        <f t="shared" si="27"/>
        <v/>
      </c>
      <c r="H75" s="11">
        <f t="shared" si="28"/>
        <v>0</v>
      </c>
      <c r="I75" s="11">
        <f t="shared" si="1"/>
        <v>1</v>
      </c>
      <c r="J75" s="11" t="str">
        <f>'IAx - Medium'!G16</f>
        <v xml:space="preserve">Stem Bolts: N/A ----- Aerobar Bolts: Top 25mm; Bottom 15mm </v>
      </c>
      <c r="K75" s="11">
        <v>1</v>
      </c>
      <c r="O75" t="str">
        <f t="shared" si="25"/>
        <v/>
      </c>
      <c r="P75" t="str">
        <f t="shared" si="25"/>
        <v/>
      </c>
      <c r="Q75" t="str">
        <f t="shared" si="25"/>
        <v/>
      </c>
    </row>
    <row r="76" spans="3:21" x14ac:dyDescent="0.25">
      <c r="C76" s="11">
        <f>'IAx - Medium'!D17</f>
        <v>635</v>
      </c>
      <c r="D76" s="11" t="str">
        <f>'IAx - Medium'!B17</f>
        <v>Frame: 54 ----- Stem: Integrated ----- Alloy Aerobar: + 30</v>
      </c>
      <c r="E76" s="11">
        <f t="shared" si="29"/>
        <v>1</v>
      </c>
      <c r="F76" s="11">
        <f t="shared" si="26"/>
        <v>1</v>
      </c>
      <c r="G76" s="11" t="str">
        <f t="shared" si="27"/>
        <v/>
      </c>
      <c r="H76" s="11">
        <f t="shared" si="28"/>
        <v>0</v>
      </c>
      <c r="I76" s="11">
        <f t="shared" si="1"/>
        <v>1</v>
      </c>
      <c r="J76" s="11" t="str">
        <f>'IAx - Medium'!G17</f>
        <v xml:space="preserve">Stem Bolts: N/A ----- Aerobar Bolts: Top 25mm; Bottom 15mm </v>
      </c>
      <c r="K76" s="11">
        <v>1</v>
      </c>
      <c r="N76" s="3" t="s">
        <v>51</v>
      </c>
    </row>
    <row r="77" spans="3:21" x14ac:dyDescent="0.25">
      <c r="C77" s="11">
        <f>'IAx - Medium'!D18</f>
        <v>640</v>
      </c>
      <c r="D77" s="11" t="str">
        <f>'IAx - Medium'!B18</f>
        <v>Frame: 54 ----- Stem: Integrated ----- Alloy Aerobar: + 30 + bridge</v>
      </c>
      <c r="E77" s="11">
        <f t="shared" si="29"/>
        <v>1</v>
      </c>
      <c r="F77" s="11">
        <f t="shared" si="26"/>
        <v>1</v>
      </c>
      <c r="G77" s="11" t="str">
        <f t="shared" si="27"/>
        <v/>
      </c>
      <c r="H77" s="11">
        <f t="shared" si="28"/>
        <v>0</v>
      </c>
      <c r="I77" s="11">
        <f t="shared" si="1"/>
        <v>1</v>
      </c>
      <c r="J77" s="11" t="str">
        <f>'IAx - Medium'!G18</f>
        <v xml:space="preserve">Stem Bolts: N/A ----- Aerobar Bolts: Top 30mm; Bottom 15mm </v>
      </c>
      <c r="K77" s="11">
        <v>1</v>
      </c>
    </row>
    <row r="78" spans="3:21" x14ac:dyDescent="0.25">
      <c r="C78" s="11">
        <f>'IAx - Medium'!D19</f>
        <v>645</v>
      </c>
      <c r="D78" s="11" t="str">
        <f>'IAx - Medium'!B19</f>
        <v>Frame: 54 ----- Stem: Integrated ----- Alloy Aerobar: + 30 + bridge + 5</v>
      </c>
      <c r="E78" s="11">
        <f t="shared" si="29"/>
        <v>1</v>
      </c>
      <c r="F78" s="11">
        <f t="shared" si="26"/>
        <v>1</v>
      </c>
      <c r="G78" s="11" t="str">
        <f t="shared" si="27"/>
        <v/>
      </c>
      <c r="H78" s="11">
        <f t="shared" si="28"/>
        <v>0</v>
      </c>
      <c r="I78" s="11">
        <f t="shared" si="1"/>
        <v>1</v>
      </c>
      <c r="J78" s="11" t="str">
        <f>'IAx - Medium'!G19</f>
        <v xml:space="preserve">Stem Bolts: N/A ----- Aerobar Bolts: Top 30mm; Bottom 15mm </v>
      </c>
      <c r="K78" s="11">
        <v>1</v>
      </c>
    </row>
    <row r="79" spans="3:21" x14ac:dyDescent="0.25">
      <c r="C79" s="11">
        <f>'IAx - Medium'!D20</f>
        <v>650</v>
      </c>
      <c r="D79" s="11" t="str">
        <f>'IAx - Medium'!B20</f>
        <v>Frame: 54 ----- Stem: Integrated ----- Alloy Aerobar: + 40 + bridge</v>
      </c>
      <c r="E79" s="11">
        <f t="shared" si="29"/>
        <v>1</v>
      </c>
      <c r="F79" s="11" t="str">
        <f t="shared" si="26"/>
        <v/>
      </c>
      <c r="G79" s="11">
        <f t="shared" si="27"/>
        <v>1</v>
      </c>
      <c r="H79" s="11">
        <f t="shared" si="28"/>
        <v>0</v>
      </c>
      <c r="I79" s="11">
        <f t="shared" si="1"/>
        <v>1</v>
      </c>
      <c r="J79" s="11" t="str">
        <f>'IAx - Medium'!G20</f>
        <v xml:space="preserve">Stem Bolts: N/A ----- Aerobar Bolts: Top 35mm; Bottom 15mm </v>
      </c>
      <c r="K79" s="11">
        <v>1</v>
      </c>
    </row>
    <row r="80" spans="3:21" x14ac:dyDescent="0.25">
      <c r="C80" s="11">
        <f>'IAx - Medium'!D21</f>
        <v>655</v>
      </c>
      <c r="D80" s="11" t="str">
        <f>'IAx - Medium'!B21</f>
        <v>Frame: 54 ----- Stem: Integrated ----- Alloy Aerobar: + 40 + bridge + 5</v>
      </c>
      <c r="E80" s="11">
        <f t="shared" si="29"/>
        <v>1</v>
      </c>
      <c r="F80" s="11" t="str">
        <f t="shared" si="26"/>
        <v/>
      </c>
      <c r="G80" s="11">
        <f t="shared" si="27"/>
        <v>1</v>
      </c>
      <c r="H80" s="11">
        <f t="shared" si="28"/>
        <v>0</v>
      </c>
      <c r="I80" s="11">
        <f t="shared" si="1"/>
        <v>1</v>
      </c>
      <c r="J80" s="11" t="str">
        <f>'IAx - Medium'!G21</f>
        <v xml:space="preserve">Stem Bolts: N/A ----- Aerobar Bolts: Top 35mm; Bottom 15mm </v>
      </c>
      <c r="K80" s="11">
        <v>1</v>
      </c>
      <c r="L80" t="s">
        <v>11</v>
      </c>
    </row>
    <row r="81" spans="3:12" x14ac:dyDescent="0.25">
      <c r="C81" s="11">
        <f>'IAx - Medium'!D22</f>
        <v>660</v>
      </c>
      <c r="D81" s="11" t="str">
        <f>'IAx - Medium'!B22</f>
        <v>Frame: 54 ----- Stem: Integrated ----- Alloy Aerobar: + 40 + bridge + 10</v>
      </c>
      <c r="E81" s="11">
        <f t="shared" si="29"/>
        <v>1</v>
      </c>
      <c r="F81" s="11" t="str">
        <f t="shared" si="26"/>
        <v/>
      </c>
      <c r="G81" s="11">
        <f t="shared" si="27"/>
        <v>1</v>
      </c>
      <c r="H81" s="11">
        <f t="shared" si="28"/>
        <v>0</v>
      </c>
      <c r="I81" s="11">
        <f t="shared" si="1"/>
        <v>1</v>
      </c>
      <c r="J81" s="11" t="str">
        <f>'IAx - Medium'!G22</f>
        <v xml:space="preserve">Stem Bolts: N/A ----- Aerobar Bolts: Top 35mm; Bottom 15mm </v>
      </c>
      <c r="K81" s="11">
        <v>1</v>
      </c>
      <c r="L81" t="s">
        <v>11</v>
      </c>
    </row>
    <row r="82" spans="3:12" x14ac:dyDescent="0.25">
      <c r="C82" s="11">
        <f>'IAx - Medium'!D23</f>
        <v>665</v>
      </c>
      <c r="D82" s="11" t="str">
        <f>'IAx - Medium'!B23</f>
        <v>Frame: 54 ----- Stem: Integrated ----- Alloy Aerobar: + 40 + bridge + 5 + 10</v>
      </c>
      <c r="E82" s="11">
        <f t="shared" si="29"/>
        <v>1</v>
      </c>
      <c r="F82" s="11" t="str">
        <f t="shared" si="26"/>
        <v/>
      </c>
      <c r="G82" s="11">
        <f t="shared" si="27"/>
        <v>1</v>
      </c>
      <c r="H82" s="11">
        <f t="shared" si="28"/>
        <v>0</v>
      </c>
      <c r="I82" s="11">
        <f t="shared" si="1"/>
        <v>1</v>
      </c>
      <c r="J82" s="11" t="str">
        <f>'IAx - Medium'!G23</f>
        <v xml:space="preserve">Stem Bolts: N/A ----- Aerobar Bolts: Top 35mm; Bottom 25mm </v>
      </c>
      <c r="K82" s="11">
        <v>1</v>
      </c>
      <c r="L82" t="s">
        <v>11</v>
      </c>
    </row>
    <row r="83" spans="3:12" x14ac:dyDescent="0.25">
      <c r="C83" s="6">
        <f>'IAx - Medium'!D24</f>
        <v>0</v>
      </c>
      <c r="D83" s="6" t="str">
        <f>'IAx - Medium'!B24</f>
        <v xml:space="preserve">Frame: 54 ----- Stem: Integrated ----- Carbon Aerobar (optional): </v>
      </c>
      <c r="E83" s="6">
        <f t="shared" si="29"/>
        <v>1</v>
      </c>
      <c r="F83" s="6" t="str">
        <f t="shared" ref="F83:F97" si="30">IF(ISNUMBER(FIND("30",D83)),1,"")</f>
        <v/>
      </c>
      <c r="G83" s="6" t="str">
        <f t="shared" ref="G83:G97" si="31">IF(ISNUMBER(FIND("40",D83)),1,"")</f>
        <v/>
      </c>
      <c r="H83" s="6">
        <f t="shared" ref="H83:H97" si="32">$E$4-$U$14</f>
        <v>0</v>
      </c>
      <c r="I83" s="6">
        <f t="shared" si="1"/>
        <v>1</v>
      </c>
      <c r="J83" s="6" t="str">
        <f>'IAx - Medium'!G24</f>
        <v xml:space="preserve">Stem Bolts: N/A ----- Aerobar Bolts: Top N/A; Bottom N/A </v>
      </c>
      <c r="K83" s="11">
        <v>1</v>
      </c>
      <c r="L83" t="s">
        <v>11</v>
      </c>
    </row>
    <row r="84" spans="3:12" x14ac:dyDescent="0.25">
      <c r="C84" s="6">
        <f>'IAx - Medium'!D25</f>
        <v>600</v>
      </c>
      <c r="D84" s="6" t="str">
        <f>'IAx - Medium'!B25</f>
        <v>Frame: 54 ----- Stem: Integrated ----- Carbon Aerobar (optional): + 5</v>
      </c>
      <c r="E84" s="6">
        <f t="shared" si="29"/>
        <v>1</v>
      </c>
      <c r="F84" s="6" t="str">
        <f t="shared" si="30"/>
        <v/>
      </c>
      <c r="G84" s="6" t="str">
        <f t="shared" si="31"/>
        <v/>
      </c>
      <c r="H84" s="6">
        <f t="shared" si="32"/>
        <v>0</v>
      </c>
      <c r="I84" s="6">
        <f t="shared" si="1"/>
        <v>1</v>
      </c>
      <c r="J84" s="6" t="str">
        <f>'IAx - Medium'!G25</f>
        <v xml:space="preserve">Stem Bolts: N/A ----- Aerobar Bolts: Top 45mm; Bottom N/A </v>
      </c>
      <c r="K84" s="11">
        <v>1</v>
      </c>
      <c r="L84" t="s">
        <v>11</v>
      </c>
    </row>
    <row r="85" spans="3:12" x14ac:dyDescent="0.25">
      <c r="C85" s="6">
        <f>'IAx - Medium'!D26</f>
        <v>605</v>
      </c>
      <c r="D85" s="6" t="str">
        <f>'IAx - Medium'!B26</f>
        <v>Frame: 54 ----- Stem: Integrated ----- Carbon Aerobar (optional): + 10</v>
      </c>
      <c r="E85" s="6">
        <f t="shared" si="29"/>
        <v>1</v>
      </c>
      <c r="F85" s="6" t="str">
        <f t="shared" si="30"/>
        <v/>
      </c>
      <c r="G85" s="6" t="str">
        <f t="shared" si="31"/>
        <v/>
      </c>
      <c r="H85" s="6">
        <f t="shared" si="32"/>
        <v>0</v>
      </c>
      <c r="I85" s="6">
        <f t="shared" si="1"/>
        <v>1</v>
      </c>
      <c r="J85" s="6" t="str">
        <f>'IAx - Medium'!G26</f>
        <v xml:space="preserve">Stem Bolts: N/A ----- Aerobar Bolts: Top 50mm; Bottom N/A </v>
      </c>
      <c r="K85" s="11">
        <v>1</v>
      </c>
      <c r="L85" t="s">
        <v>11</v>
      </c>
    </row>
    <row r="86" spans="3:12" x14ac:dyDescent="0.25">
      <c r="C86" s="6">
        <f>'IAx - Medium'!D27</f>
        <v>610</v>
      </c>
      <c r="D86" s="6" t="str">
        <f>'IAx - Medium'!B27</f>
        <v>Frame: 54 ----- Stem: Integrated ----- Carbon Aerobar (optional): + 5 + 10</v>
      </c>
      <c r="E86" s="6">
        <f t="shared" si="29"/>
        <v>1</v>
      </c>
      <c r="F86" s="6" t="str">
        <f t="shared" si="30"/>
        <v/>
      </c>
      <c r="G86" s="6" t="str">
        <f t="shared" si="31"/>
        <v/>
      </c>
      <c r="H86" s="6">
        <f t="shared" si="32"/>
        <v>0</v>
      </c>
      <c r="I86" s="6">
        <f t="shared" si="1"/>
        <v>1</v>
      </c>
      <c r="J86" s="6" t="str">
        <f>'IAx - Medium'!G27</f>
        <v xml:space="preserve">Stem Bolts: N/A ----- Aerobar Bolts: Top 55mm; Bottom N/A </v>
      </c>
      <c r="K86" s="11">
        <v>1</v>
      </c>
      <c r="L86" t="s">
        <v>11</v>
      </c>
    </row>
    <row r="87" spans="3:12" x14ac:dyDescent="0.25">
      <c r="C87" s="6">
        <f>'IAx - Medium'!D28</f>
        <v>615</v>
      </c>
      <c r="D87" s="6" t="str">
        <f>'IAx - Medium'!B28</f>
        <v>Frame: 54 ----- Stem: Integrated ----- Carbon Aerobar (optional): + 20</v>
      </c>
      <c r="E87" s="6">
        <f t="shared" si="29"/>
        <v>1</v>
      </c>
      <c r="F87" s="6" t="str">
        <f t="shared" si="30"/>
        <v/>
      </c>
      <c r="G87" s="6" t="str">
        <f t="shared" si="31"/>
        <v/>
      </c>
      <c r="H87" s="6">
        <f t="shared" si="32"/>
        <v>0</v>
      </c>
      <c r="I87" s="6">
        <f t="shared" si="1"/>
        <v>1</v>
      </c>
      <c r="J87" s="6" t="str">
        <f>'IAx - Medium'!G28</f>
        <v xml:space="preserve">Stem Bolts: N/A ----- Aerobar Bolts: Top 20mm; Bottom 30mm </v>
      </c>
      <c r="K87" s="11">
        <v>1</v>
      </c>
      <c r="L87" t="s">
        <v>11</v>
      </c>
    </row>
    <row r="88" spans="3:12" x14ac:dyDescent="0.25">
      <c r="C88" s="6">
        <f>'IAx - Medium'!D29</f>
        <v>620</v>
      </c>
      <c r="D88" s="6" t="str">
        <f>'IAx - Medium'!B29</f>
        <v xml:space="preserve">Frame: 54 ----- Stem: Integrated ----- Carbon Aerobar (optional): + 20 + 5 </v>
      </c>
      <c r="E88" s="6">
        <f t="shared" si="29"/>
        <v>1</v>
      </c>
      <c r="F88" s="6" t="str">
        <f t="shared" si="30"/>
        <v/>
      </c>
      <c r="G88" s="6" t="str">
        <f t="shared" si="31"/>
        <v/>
      </c>
      <c r="H88" s="6">
        <f t="shared" si="32"/>
        <v>0</v>
      </c>
      <c r="I88" s="6">
        <f t="shared" si="1"/>
        <v>1</v>
      </c>
      <c r="J88" s="6" t="str">
        <f>'IAx - Medium'!G29</f>
        <v xml:space="preserve">Stem Bolts: N/A ----- Aerobar Bolts: Top 25mm; Bottom 30mm </v>
      </c>
      <c r="K88" s="11">
        <v>1</v>
      </c>
      <c r="L88" t="s">
        <v>11</v>
      </c>
    </row>
    <row r="89" spans="3:12" x14ac:dyDescent="0.25">
      <c r="C89" s="6">
        <f>'IAx - Medium'!D30</f>
        <v>620</v>
      </c>
      <c r="D89" s="6" t="str">
        <f>'IAx - Medium'!B30</f>
        <v>Frame: 54 ----- Stem: Integrated ----- Carbon Aerobar (optional): + 20 + bridge</v>
      </c>
      <c r="E89" s="6">
        <f t="shared" si="29"/>
        <v>1</v>
      </c>
      <c r="F89" s="6" t="str">
        <f t="shared" si="30"/>
        <v/>
      </c>
      <c r="G89" s="6" t="str">
        <f t="shared" si="31"/>
        <v/>
      </c>
      <c r="H89" s="6">
        <f t="shared" si="32"/>
        <v>0</v>
      </c>
      <c r="I89" s="6">
        <f t="shared" si="1"/>
        <v>1</v>
      </c>
      <c r="J89" s="6" t="str">
        <f>'IAx - Medium'!G30</f>
        <v xml:space="preserve">Stem Bolts: N/A ----- Aerobar Bolts: Top 25mm; Bottom 30mm </v>
      </c>
      <c r="K89" s="11">
        <v>1</v>
      </c>
      <c r="L89" t="s">
        <v>11</v>
      </c>
    </row>
    <row r="90" spans="3:12" x14ac:dyDescent="0.25">
      <c r="C90" s="6">
        <f>'IAx - Medium'!D31</f>
        <v>625</v>
      </c>
      <c r="D90" s="6" t="str">
        <f>'IAx - Medium'!B31</f>
        <v>Frame: 54 ----- Stem: Integrated ----- Carbon Aerobar (optional): + 20 + bridge + 5</v>
      </c>
      <c r="E90" s="6">
        <f t="shared" si="29"/>
        <v>1</v>
      </c>
      <c r="F90" s="6" t="str">
        <f t="shared" si="30"/>
        <v/>
      </c>
      <c r="G90" s="6" t="str">
        <f t="shared" si="31"/>
        <v/>
      </c>
      <c r="H90" s="6">
        <f t="shared" si="32"/>
        <v>0</v>
      </c>
      <c r="I90" s="6">
        <f t="shared" si="1"/>
        <v>1</v>
      </c>
      <c r="J90" s="6" t="str">
        <f>'IAx - Medium'!G31</f>
        <v xml:space="preserve">Stem Bolts: N/A ----- Aerobar Bolts: Top 25mm; Bottom 30mm </v>
      </c>
      <c r="K90" s="11">
        <v>1</v>
      </c>
      <c r="L90" t="s">
        <v>11</v>
      </c>
    </row>
    <row r="91" spans="3:12" x14ac:dyDescent="0.25">
      <c r="C91" s="6">
        <f>'IAx - Medium'!D32</f>
        <v>625</v>
      </c>
      <c r="D91" s="6" t="str">
        <f>'IAx - Medium'!B32</f>
        <v>Frame: 54 ----- Stem: Integrated ----- Carbon Aerobar (optional): + 30</v>
      </c>
      <c r="E91" s="6">
        <f t="shared" si="29"/>
        <v>1</v>
      </c>
      <c r="F91" s="6">
        <f t="shared" si="30"/>
        <v>1</v>
      </c>
      <c r="G91" s="6" t="str">
        <f t="shared" si="31"/>
        <v/>
      </c>
      <c r="H91" s="6">
        <f t="shared" si="32"/>
        <v>0</v>
      </c>
      <c r="I91" s="6">
        <f t="shared" si="1"/>
        <v>1</v>
      </c>
      <c r="J91" s="6" t="str">
        <f>'IAx - Medium'!G32</f>
        <v xml:space="preserve">Stem Bolts: N/A ----- Aerobar Bolts: Top 30mm; Bottom 30mm </v>
      </c>
      <c r="K91" s="11">
        <v>1</v>
      </c>
      <c r="L91" t="s">
        <v>11</v>
      </c>
    </row>
    <row r="92" spans="3:12" x14ac:dyDescent="0.25">
      <c r="C92" s="6">
        <f>'IAx - Medium'!D33</f>
        <v>630</v>
      </c>
      <c r="D92" s="6" t="str">
        <f>'IAx - Medium'!B33</f>
        <v>Frame: 54 ----- Stem: Integrated ----- Carbon Aerobar (optional): + 30 + bridge</v>
      </c>
      <c r="E92" s="6">
        <f t="shared" si="29"/>
        <v>1</v>
      </c>
      <c r="F92" s="6">
        <f t="shared" si="30"/>
        <v>1</v>
      </c>
      <c r="G92" s="6" t="str">
        <f t="shared" si="31"/>
        <v/>
      </c>
      <c r="H92" s="6">
        <f t="shared" si="32"/>
        <v>0</v>
      </c>
      <c r="I92" s="6">
        <f t="shared" si="1"/>
        <v>1</v>
      </c>
      <c r="J92" s="6" t="str">
        <f>'IAx - Medium'!G33</f>
        <v xml:space="preserve">Stem Bolts: N/A ----- Aerobar Bolts: Top 30mm; Bottom 30mm </v>
      </c>
      <c r="K92" s="11">
        <v>1</v>
      </c>
      <c r="L92" t="s">
        <v>11</v>
      </c>
    </row>
    <row r="93" spans="3:12" x14ac:dyDescent="0.25">
      <c r="C93" s="6">
        <f>'IAx - Medium'!D34</f>
        <v>635</v>
      </c>
      <c r="D93" s="6" t="str">
        <f>'IAx - Medium'!B34</f>
        <v>Frame: 54 ----- Stem: Integrated ----- Carbon Aerobar (optional): + 30 + bridge + 5</v>
      </c>
      <c r="E93" s="6">
        <f t="shared" si="29"/>
        <v>1</v>
      </c>
      <c r="F93" s="6">
        <f t="shared" si="30"/>
        <v>1</v>
      </c>
      <c r="G93" s="6" t="str">
        <f t="shared" si="31"/>
        <v/>
      </c>
      <c r="H93" s="6">
        <f t="shared" si="32"/>
        <v>0</v>
      </c>
      <c r="I93" s="6">
        <f t="shared" si="1"/>
        <v>1</v>
      </c>
      <c r="J93" s="6" t="str">
        <f>'IAx - Medium'!G34</f>
        <v xml:space="preserve">Stem Bolts: N/A ----- Aerobar Bolts: Top 35mm; Bottom 30mm </v>
      </c>
      <c r="K93" s="11">
        <v>1</v>
      </c>
      <c r="L93" t="s">
        <v>11</v>
      </c>
    </row>
    <row r="94" spans="3:12" x14ac:dyDescent="0.25">
      <c r="C94" s="6">
        <f>'IAx - Medium'!D35</f>
        <v>640</v>
      </c>
      <c r="D94" s="6" t="str">
        <f>'IAx - Medium'!B35</f>
        <v>Frame: 54 ----- Stem: Integrated ----- Carbon Aerobar (optional): + 40 + bridge</v>
      </c>
      <c r="E94" s="6">
        <f t="shared" si="29"/>
        <v>1</v>
      </c>
      <c r="F94" s="6" t="str">
        <f t="shared" si="30"/>
        <v/>
      </c>
      <c r="G94" s="6">
        <f t="shared" si="31"/>
        <v>1</v>
      </c>
      <c r="H94" s="6">
        <f t="shared" si="32"/>
        <v>0</v>
      </c>
      <c r="I94" s="6">
        <f t="shared" si="1"/>
        <v>1</v>
      </c>
      <c r="J94" s="6" t="str">
        <f>'IAx - Medium'!G35</f>
        <v xml:space="preserve">Stem Bolts: N/A ----- Aerobar Bolts: Top 35mm; Bottom 30mm </v>
      </c>
      <c r="K94" s="11">
        <v>1</v>
      </c>
      <c r="L94" t="s">
        <v>11</v>
      </c>
    </row>
    <row r="95" spans="3:12" x14ac:dyDescent="0.25">
      <c r="C95" s="6">
        <f>'IAx - Medium'!D36</f>
        <v>645</v>
      </c>
      <c r="D95" s="6" t="str">
        <f>'IAx - Medium'!B36</f>
        <v>Frame: 54 ----- Stem: Integrated ----- Carbon Aerobar (optional): + 40 + bridge + 5</v>
      </c>
      <c r="E95" s="6">
        <f t="shared" si="29"/>
        <v>1</v>
      </c>
      <c r="F95" s="6" t="str">
        <f t="shared" si="30"/>
        <v/>
      </c>
      <c r="G95" s="6">
        <f t="shared" si="31"/>
        <v>1</v>
      </c>
      <c r="H95" s="6">
        <f t="shared" si="32"/>
        <v>0</v>
      </c>
      <c r="I95" s="6">
        <f t="shared" si="1"/>
        <v>1</v>
      </c>
      <c r="J95" s="6" t="str">
        <f>'IAx - Medium'!G36</f>
        <v xml:space="preserve">Stem Bolts: N/A ----- Aerobar Bolts: Top 35mm; Bottom 30mm </v>
      </c>
      <c r="K95" s="11">
        <v>1</v>
      </c>
      <c r="L95" t="s">
        <v>11</v>
      </c>
    </row>
    <row r="96" spans="3:12" x14ac:dyDescent="0.25">
      <c r="C96" s="6">
        <f>'IAx - Medium'!D37</f>
        <v>650</v>
      </c>
      <c r="D96" s="6" t="str">
        <f>'IAx - Medium'!B37</f>
        <v>Frame: 54 ----- Stem: Integrated ----- Carbon Aerobar (optional): + 40 + bridge + 10</v>
      </c>
      <c r="E96" s="6">
        <f t="shared" si="29"/>
        <v>1</v>
      </c>
      <c r="F96" s="6" t="str">
        <f t="shared" si="30"/>
        <v/>
      </c>
      <c r="G96" s="6">
        <f t="shared" si="31"/>
        <v>1</v>
      </c>
      <c r="H96" s="6">
        <f t="shared" si="32"/>
        <v>0</v>
      </c>
      <c r="I96" s="6">
        <f t="shared" si="1"/>
        <v>1</v>
      </c>
      <c r="J96" s="6" t="str">
        <f>'IAx - Medium'!G37</f>
        <v xml:space="preserve">Stem Bolts: N/A ----- Aerobar Bolts: Top 40mm; Bottom 30mm </v>
      </c>
      <c r="K96" s="11">
        <v>1</v>
      </c>
      <c r="L96" t="s">
        <v>11</v>
      </c>
    </row>
    <row r="97" spans="3:12" x14ac:dyDescent="0.25">
      <c r="C97" s="6">
        <f>'IAx - Medium'!D38</f>
        <v>655</v>
      </c>
      <c r="D97" s="6" t="str">
        <f>'IAx - Medium'!B38</f>
        <v>Frame: 54 ----- Stem: Integrated ----- Carbon Aerobar (optional): + 40 + bridge + 5 + 10</v>
      </c>
      <c r="E97" s="6">
        <f t="shared" si="29"/>
        <v>1</v>
      </c>
      <c r="F97" s="6" t="str">
        <f t="shared" si="30"/>
        <v/>
      </c>
      <c r="G97" s="6">
        <f t="shared" si="31"/>
        <v>1</v>
      </c>
      <c r="H97" s="6">
        <f t="shared" si="32"/>
        <v>0</v>
      </c>
      <c r="I97" s="6">
        <f t="shared" si="1"/>
        <v>1</v>
      </c>
      <c r="J97" s="6" t="str">
        <f>'IAx - Medium'!G38</f>
        <v xml:space="preserve">Stem Bolts: N/A ----- Aerobar Bolts: Top 45mm; Bottom 30mm </v>
      </c>
      <c r="K97" s="11">
        <v>1</v>
      </c>
      <c r="L97" t="s">
        <v>11</v>
      </c>
    </row>
    <row r="98" spans="3:12" x14ac:dyDescent="0.25">
      <c r="C98" s="11">
        <f>'IAx - Small'!D9</f>
        <v>585</v>
      </c>
      <c r="D98" s="11" t="str">
        <f>'IAx - Small'!B9</f>
        <v xml:space="preserve">Frame: 51 ----- Stem: Integrated ----- Alloy Aerobar: </v>
      </c>
      <c r="E98" s="11">
        <f>$W$6*$X$6</f>
        <v>1</v>
      </c>
      <c r="F98" s="11" t="str">
        <f t="shared" ref="F98:F112" si="33">IF(ISNUMBER(FIND("30",D98)),1,"")</f>
        <v/>
      </c>
      <c r="G98" s="11" t="str">
        <f t="shared" ref="G98:G112" si="34">IF(ISNUMBER(FIND("40",D98)),1,"")</f>
        <v/>
      </c>
      <c r="H98" s="11">
        <f t="shared" ref="H98:H112" si="35">$E$4-$U$13</f>
        <v>11</v>
      </c>
      <c r="I98" s="11">
        <f t="shared" ref="I98:I157" si="36">$AC$8</f>
        <v>1</v>
      </c>
      <c r="J98" s="11" t="str">
        <f>'IAx - Small'!G9</f>
        <v xml:space="preserve">Stem Bolts: N/A ----- Aerobar Bolts: Top 20mm; Bottom N/A </v>
      </c>
      <c r="K98" s="11">
        <v>1</v>
      </c>
      <c r="L98" t="s">
        <v>11</v>
      </c>
    </row>
    <row r="99" spans="3:12" x14ac:dyDescent="0.25">
      <c r="C99" s="11">
        <f>'IAx - Small'!D10</f>
        <v>590</v>
      </c>
      <c r="D99" s="11" t="str">
        <f>'IAx - Small'!B10</f>
        <v>Frame: 51 ----- Stem: Integrated ----- Alloy Aerobar: + 5</v>
      </c>
      <c r="E99" s="11">
        <f t="shared" ref="E99:E127" si="37">$W$6*$X$6</f>
        <v>1</v>
      </c>
      <c r="F99" s="11" t="str">
        <f t="shared" si="33"/>
        <v/>
      </c>
      <c r="G99" s="11" t="str">
        <f t="shared" si="34"/>
        <v/>
      </c>
      <c r="H99" s="11">
        <f t="shared" si="35"/>
        <v>11</v>
      </c>
      <c r="I99" s="11">
        <f t="shared" si="36"/>
        <v>1</v>
      </c>
      <c r="J99" s="11" t="str">
        <f>'IAx - Small'!G10</f>
        <v xml:space="preserve">Stem Bolts: N/A ----- Aerobar Bolts: Top 25mm; Bottom N/A </v>
      </c>
      <c r="K99" s="11">
        <v>1</v>
      </c>
      <c r="L99" t="s">
        <v>11</v>
      </c>
    </row>
    <row r="100" spans="3:12" x14ac:dyDescent="0.25">
      <c r="C100" s="11">
        <f>'IAx - Small'!D11</f>
        <v>595</v>
      </c>
      <c r="D100" s="11" t="str">
        <f>'IAx - Small'!B11</f>
        <v>Frame: 51 ----- Stem: Integrated ----- Alloy Aerobar: + 10</v>
      </c>
      <c r="E100" s="11">
        <f t="shared" si="37"/>
        <v>1</v>
      </c>
      <c r="F100" s="11" t="str">
        <f t="shared" si="33"/>
        <v/>
      </c>
      <c r="G100" s="11" t="str">
        <f t="shared" si="34"/>
        <v/>
      </c>
      <c r="H100" s="11">
        <f t="shared" si="35"/>
        <v>11</v>
      </c>
      <c r="I100" s="11">
        <f t="shared" si="36"/>
        <v>1</v>
      </c>
      <c r="J100" s="11" t="str">
        <f>'IAx - Small'!G11</f>
        <v xml:space="preserve">Stem Bolts: N/A ----- Aerobar Bolts: Top 30mm; Bottom N/A </v>
      </c>
      <c r="K100" s="11">
        <v>1</v>
      </c>
      <c r="L100" t="s">
        <v>11</v>
      </c>
    </row>
    <row r="101" spans="3:12" x14ac:dyDescent="0.25">
      <c r="C101" s="11">
        <f>'IAx - Small'!D12</f>
        <v>600</v>
      </c>
      <c r="D101" s="11" t="str">
        <f>'IAx - Small'!B12</f>
        <v>Frame: 51 ----- Stem: Integrated ----- Alloy Aerobar: + 5 + 10</v>
      </c>
      <c r="E101" s="11">
        <f t="shared" si="37"/>
        <v>1</v>
      </c>
      <c r="F101" s="11" t="str">
        <f t="shared" si="33"/>
        <v/>
      </c>
      <c r="G101" s="11" t="str">
        <f t="shared" si="34"/>
        <v/>
      </c>
      <c r="H101" s="11">
        <f t="shared" si="35"/>
        <v>11</v>
      </c>
      <c r="I101" s="11">
        <f t="shared" si="36"/>
        <v>1</v>
      </c>
      <c r="J101" s="11" t="str">
        <f>'IAx - Small'!G12</f>
        <v xml:space="preserve">Stem Bolts: N/A ----- Aerobar Bolts: Top 35mm; Bottom N/A </v>
      </c>
      <c r="K101" s="11">
        <v>1</v>
      </c>
      <c r="L101" t="s">
        <v>11</v>
      </c>
    </row>
    <row r="102" spans="3:12" x14ac:dyDescent="0.25">
      <c r="C102" s="11">
        <f>'IAx - Small'!D13</f>
        <v>605</v>
      </c>
      <c r="D102" s="11" t="str">
        <f>'IAx - Small'!B13</f>
        <v>Frame: 51 ----- Stem: Integrated ----- Alloy Aerobar: + 20</v>
      </c>
      <c r="E102" s="11">
        <f t="shared" si="37"/>
        <v>1</v>
      </c>
      <c r="F102" s="11" t="str">
        <f t="shared" si="33"/>
        <v/>
      </c>
      <c r="G102" s="11" t="str">
        <f t="shared" si="34"/>
        <v/>
      </c>
      <c r="H102" s="11">
        <f t="shared" si="35"/>
        <v>11</v>
      </c>
      <c r="I102" s="11">
        <f t="shared" si="36"/>
        <v>1</v>
      </c>
      <c r="J102" s="11" t="str">
        <f>'IAx - Small'!G13</f>
        <v xml:space="preserve">Stem Bolts: N/A ----- Aerobar Bolts: Top 20mm; Bottom 15mm </v>
      </c>
      <c r="K102" s="11">
        <v>1</v>
      </c>
      <c r="L102" t="s">
        <v>11</v>
      </c>
    </row>
    <row r="103" spans="3:12" x14ac:dyDescent="0.25">
      <c r="C103" s="11">
        <f>'IAx - Small'!D14</f>
        <v>610</v>
      </c>
      <c r="D103" s="11" t="str">
        <f>'IAx - Small'!B14</f>
        <v xml:space="preserve">Frame: 51 ----- Stem: Integrated ----- Alloy Aerobar: + 20 + 5 </v>
      </c>
      <c r="E103" s="11">
        <f t="shared" si="37"/>
        <v>1</v>
      </c>
      <c r="F103" s="11" t="str">
        <f t="shared" si="33"/>
        <v/>
      </c>
      <c r="G103" s="11" t="str">
        <f t="shared" si="34"/>
        <v/>
      </c>
      <c r="H103" s="11">
        <f t="shared" si="35"/>
        <v>11</v>
      </c>
      <c r="I103" s="11">
        <f t="shared" si="36"/>
        <v>1</v>
      </c>
      <c r="J103" s="11" t="str">
        <f>'IAx - Small'!G14</f>
        <v xml:space="preserve">Stem Bolts: N/A ----- Aerobar Bolts: Top 25mm; Bottom 15mm </v>
      </c>
      <c r="K103" s="11">
        <v>1</v>
      </c>
      <c r="L103" t="s">
        <v>11</v>
      </c>
    </row>
    <row r="104" spans="3:12" x14ac:dyDescent="0.25">
      <c r="C104" s="11">
        <f>'IAx - Small'!D15</f>
        <v>610</v>
      </c>
      <c r="D104" s="11" t="str">
        <f>'IAx - Small'!B15</f>
        <v>Frame: 51 ----- Stem: Integrated ----- Alloy Aerobar: + 20 + bridge</v>
      </c>
      <c r="E104" s="11">
        <f t="shared" si="37"/>
        <v>1</v>
      </c>
      <c r="F104" s="11" t="str">
        <f t="shared" si="33"/>
        <v/>
      </c>
      <c r="G104" s="11" t="str">
        <f t="shared" si="34"/>
        <v/>
      </c>
      <c r="H104" s="11">
        <f t="shared" si="35"/>
        <v>11</v>
      </c>
      <c r="I104" s="11">
        <f t="shared" si="36"/>
        <v>1</v>
      </c>
      <c r="J104" s="11" t="str">
        <f>'IAx - Small'!G15</f>
        <v xml:space="preserve">Stem Bolts: N/A ----- Aerobar Bolts: Top 25mm; Bottom 15mm </v>
      </c>
      <c r="K104" s="11">
        <v>1</v>
      </c>
      <c r="L104" t="s">
        <v>11</v>
      </c>
    </row>
    <row r="105" spans="3:12" x14ac:dyDescent="0.25">
      <c r="C105" s="11">
        <f>'IAx - Small'!D16</f>
        <v>615</v>
      </c>
      <c r="D105" s="11" t="str">
        <f>'IAx - Small'!B16</f>
        <v>Frame: 51 ----- Stem: Integrated ----- Alloy Aerobar: + 20 + bridge + 5</v>
      </c>
      <c r="E105" s="11">
        <f t="shared" si="37"/>
        <v>1</v>
      </c>
      <c r="F105" s="11" t="str">
        <f t="shared" si="33"/>
        <v/>
      </c>
      <c r="G105" s="11" t="str">
        <f t="shared" si="34"/>
        <v/>
      </c>
      <c r="H105" s="11">
        <f t="shared" si="35"/>
        <v>11</v>
      </c>
      <c r="I105" s="11">
        <f t="shared" si="36"/>
        <v>1</v>
      </c>
      <c r="J105" s="11" t="str">
        <f>'IAx - Small'!G16</f>
        <v xml:space="preserve">Stem Bolts: N/A ----- Aerobar Bolts: Top 25mm; Bottom 15mm </v>
      </c>
      <c r="K105" s="11">
        <v>1</v>
      </c>
      <c r="L105" t="s">
        <v>11</v>
      </c>
    </row>
    <row r="106" spans="3:12" x14ac:dyDescent="0.25">
      <c r="C106" s="11">
        <f>'IAx - Small'!D17</f>
        <v>615</v>
      </c>
      <c r="D106" s="11" t="str">
        <f>'IAx - Small'!B17</f>
        <v>Frame: 51 ----- Stem: Integrated ----- Alloy Aerobar: + 30</v>
      </c>
      <c r="E106" s="11">
        <f t="shared" si="37"/>
        <v>1</v>
      </c>
      <c r="F106" s="11">
        <f t="shared" si="33"/>
        <v>1</v>
      </c>
      <c r="G106" s="11" t="str">
        <f t="shared" si="34"/>
        <v/>
      </c>
      <c r="H106" s="11">
        <f t="shared" si="35"/>
        <v>11</v>
      </c>
      <c r="I106" s="11">
        <f t="shared" si="36"/>
        <v>1</v>
      </c>
      <c r="J106" s="11" t="str">
        <f>'IAx - Small'!G17</f>
        <v xml:space="preserve">Stem Bolts: N/A ----- Aerobar Bolts: Top 25mm; Bottom 15mm </v>
      </c>
      <c r="K106" s="11">
        <v>1</v>
      </c>
      <c r="L106" t="s">
        <v>11</v>
      </c>
    </row>
    <row r="107" spans="3:12" x14ac:dyDescent="0.25">
      <c r="C107" s="11">
        <f>'IAx - Small'!D18</f>
        <v>620</v>
      </c>
      <c r="D107" s="11" t="str">
        <f>'IAx - Small'!B18</f>
        <v>Frame: 51 ----- Stem: Integrated ----- Alloy Aerobar: + 30 + bridge</v>
      </c>
      <c r="E107" s="11">
        <f t="shared" si="37"/>
        <v>1</v>
      </c>
      <c r="F107" s="11">
        <f t="shared" si="33"/>
        <v>1</v>
      </c>
      <c r="G107" s="11" t="str">
        <f t="shared" si="34"/>
        <v/>
      </c>
      <c r="H107" s="11">
        <f t="shared" si="35"/>
        <v>11</v>
      </c>
      <c r="I107" s="11">
        <f t="shared" si="36"/>
        <v>1</v>
      </c>
      <c r="J107" s="11" t="str">
        <f>'IAx - Small'!G18</f>
        <v xml:space="preserve">Stem Bolts: N/A ----- Aerobar Bolts: Top 30mm; Bottom 15mm </v>
      </c>
      <c r="K107" s="11">
        <v>1</v>
      </c>
      <c r="L107" t="s">
        <v>11</v>
      </c>
    </row>
    <row r="108" spans="3:12" x14ac:dyDescent="0.25">
      <c r="C108" s="11">
        <f>'IAx - Small'!D19</f>
        <v>625</v>
      </c>
      <c r="D108" s="11" t="str">
        <f>'IAx - Small'!B19</f>
        <v>Frame: 51 ----- Stem: Integrated ----- Alloy Aerobar: + 30 + bridge + 5</v>
      </c>
      <c r="E108" s="11">
        <f t="shared" si="37"/>
        <v>1</v>
      </c>
      <c r="F108" s="11">
        <f t="shared" si="33"/>
        <v>1</v>
      </c>
      <c r="G108" s="11" t="str">
        <f t="shared" si="34"/>
        <v/>
      </c>
      <c r="H108" s="11">
        <f t="shared" si="35"/>
        <v>11</v>
      </c>
      <c r="I108" s="11">
        <f t="shared" si="36"/>
        <v>1</v>
      </c>
      <c r="J108" s="11" t="str">
        <f>'IAx - Small'!G19</f>
        <v xml:space="preserve">Stem Bolts: N/A ----- Aerobar Bolts: Top 30mm; Bottom 15mm </v>
      </c>
      <c r="K108" s="11">
        <v>1</v>
      </c>
      <c r="L108" t="s">
        <v>11</v>
      </c>
    </row>
    <row r="109" spans="3:12" x14ac:dyDescent="0.25">
      <c r="C109" s="11">
        <f>'IAx - Small'!D20</f>
        <v>630</v>
      </c>
      <c r="D109" s="11" t="str">
        <f>'IAx - Small'!B20</f>
        <v>Frame: 51 ----- Stem: Integrated ----- Alloy Aerobar: + 40 + bridge</v>
      </c>
      <c r="E109" s="11">
        <f t="shared" si="37"/>
        <v>1</v>
      </c>
      <c r="F109" s="11" t="str">
        <f t="shared" si="33"/>
        <v/>
      </c>
      <c r="G109" s="11">
        <f t="shared" si="34"/>
        <v>1</v>
      </c>
      <c r="H109" s="11">
        <f t="shared" si="35"/>
        <v>11</v>
      </c>
      <c r="I109" s="11">
        <f t="shared" si="36"/>
        <v>1</v>
      </c>
      <c r="J109" s="11" t="str">
        <f>'IAx - Small'!G20</f>
        <v xml:space="preserve">Stem Bolts: N/A ----- Aerobar Bolts: Top 35mm; Bottom 15mm </v>
      </c>
      <c r="K109" s="11">
        <v>1</v>
      </c>
      <c r="L109" t="s">
        <v>11</v>
      </c>
    </row>
    <row r="110" spans="3:12" x14ac:dyDescent="0.25">
      <c r="C110" s="11">
        <f>'IAx - Small'!D21</f>
        <v>635</v>
      </c>
      <c r="D110" s="11" t="str">
        <f>'IAx - Small'!B21</f>
        <v>Frame: 51 ----- Stem: Integrated ----- Alloy Aerobar: + 40 + bridge + 5</v>
      </c>
      <c r="E110" s="11">
        <f t="shared" si="37"/>
        <v>1</v>
      </c>
      <c r="F110" s="11" t="str">
        <f t="shared" si="33"/>
        <v/>
      </c>
      <c r="G110" s="11">
        <f t="shared" si="34"/>
        <v>1</v>
      </c>
      <c r="H110" s="11">
        <f t="shared" si="35"/>
        <v>11</v>
      </c>
      <c r="I110" s="11">
        <f t="shared" si="36"/>
        <v>1</v>
      </c>
      <c r="J110" s="11" t="str">
        <f>'IAx - Small'!G21</f>
        <v xml:space="preserve">Stem Bolts: N/A ----- Aerobar Bolts: Top 35mm; Bottom 15mm </v>
      </c>
      <c r="K110" s="11">
        <v>1</v>
      </c>
      <c r="L110" t="s">
        <v>11</v>
      </c>
    </row>
    <row r="111" spans="3:12" x14ac:dyDescent="0.25">
      <c r="C111" s="11">
        <f>'IAx - Small'!D22</f>
        <v>640</v>
      </c>
      <c r="D111" s="11" t="str">
        <f>'IAx - Small'!B22</f>
        <v>Frame: 51 ----- Stem: Integrated ----- Alloy Aerobar: + 40 + bridge + 10</v>
      </c>
      <c r="E111" s="11">
        <f t="shared" si="37"/>
        <v>1</v>
      </c>
      <c r="F111" s="11" t="str">
        <f t="shared" si="33"/>
        <v/>
      </c>
      <c r="G111" s="11">
        <f t="shared" si="34"/>
        <v>1</v>
      </c>
      <c r="H111" s="11">
        <f t="shared" si="35"/>
        <v>11</v>
      </c>
      <c r="I111" s="11">
        <f t="shared" si="36"/>
        <v>1</v>
      </c>
      <c r="J111" s="11" t="str">
        <f>'IAx - Small'!G22</f>
        <v xml:space="preserve">Stem Bolts: N/A ----- Aerobar Bolts: Top 35mm; Bottom 15mm </v>
      </c>
      <c r="K111" s="11">
        <v>1</v>
      </c>
      <c r="L111" t="s">
        <v>11</v>
      </c>
    </row>
    <row r="112" spans="3:12" x14ac:dyDescent="0.25">
      <c r="C112" s="11">
        <f>'IAx - Small'!D23</f>
        <v>645</v>
      </c>
      <c r="D112" s="11" t="str">
        <f>'IAx - Small'!B23</f>
        <v>Frame: 51 ----- Stem: Integrated ----- Alloy Aerobar: + 40 + bridge + 5 + 10</v>
      </c>
      <c r="E112" s="11">
        <f t="shared" si="37"/>
        <v>1</v>
      </c>
      <c r="F112" s="11" t="str">
        <f t="shared" si="33"/>
        <v/>
      </c>
      <c r="G112" s="11">
        <f t="shared" si="34"/>
        <v>1</v>
      </c>
      <c r="H112" s="11">
        <f t="shared" si="35"/>
        <v>11</v>
      </c>
      <c r="I112" s="11">
        <f t="shared" si="36"/>
        <v>1</v>
      </c>
      <c r="J112" s="11" t="str">
        <f>'IAx - Small'!G23</f>
        <v xml:space="preserve">Stem Bolts: N/A ----- Aerobar Bolts: Top 35mm; Bottom 25mm </v>
      </c>
      <c r="K112" s="11">
        <v>1</v>
      </c>
      <c r="L112" t="s">
        <v>11</v>
      </c>
    </row>
    <row r="113" spans="3:12" x14ac:dyDescent="0.25">
      <c r="C113" s="6">
        <f>'IAx - Small'!D24</f>
        <v>0</v>
      </c>
      <c r="D113" s="6" t="str">
        <f>'IAx - Small'!B24</f>
        <v xml:space="preserve">Frame: 51 ----- Stem: Integrated ----- Carbon Aerobar (optional): </v>
      </c>
      <c r="E113" s="6">
        <f t="shared" si="37"/>
        <v>1</v>
      </c>
      <c r="F113" s="6" t="str">
        <f t="shared" ref="F113:F127" si="38">IF(ISNUMBER(FIND("30",D113)),1,"")</f>
        <v/>
      </c>
      <c r="G113" s="6" t="str">
        <f t="shared" ref="G113:G127" si="39">IF(ISNUMBER(FIND("40",D113)),1,"")</f>
        <v/>
      </c>
      <c r="H113" s="6">
        <f t="shared" ref="H113:H127" si="40">$E$4-$U$13</f>
        <v>11</v>
      </c>
      <c r="I113" s="6">
        <f t="shared" si="36"/>
        <v>1</v>
      </c>
      <c r="J113" s="6" t="str">
        <f>'IAx - Small'!G24</f>
        <v xml:space="preserve">Stem Bolts: N/A ----- Aerobar Bolts: Top N/A; Bottom N/A </v>
      </c>
      <c r="K113" s="11">
        <v>1</v>
      </c>
      <c r="L113" t="s">
        <v>11</v>
      </c>
    </row>
    <row r="114" spans="3:12" x14ac:dyDescent="0.25">
      <c r="C114" s="6">
        <f>'IAx - Small'!D25</f>
        <v>575</v>
      </c>
      <c r="D114" s="6" t="str">
        <f>'IAx - Small'!B25</f>
        <v>Frame: 51 ----- Stem: Integrated ----- Carbon Aerobar (optional): + 5</v>
      </c>
      <c r="E114" s="6">
        <f t="shared" si="37"/>
        <v>1</v>
      </c>
      <c r="F114" s="6" t="str">
        <f t="shared" si="38"/>
        <v/>
      </c>
      <c r="G114" s="6" t="str">
        <f t="shared" si="39"/>
        <v/>
      </c>
      <c r="H114" s="6">
        <f t="shared" si="40"/>
        <v>11</v>
      </c>
      <c r="I114" s="6">
        <f t="shared" si="36"/>
        <v>1</v>
      </c>
      <c r="J114" s="6" t="str">
        <f>'IAx - Small'!G25</f>
        <v xml:space="preserve">Stem Bolts: N/A ----- Aerobar Bolts: Top 45mm; Bottom N/A </v>
      </c>
      <c r="K114" s="11">
        <v>1</v>
      </c>
      <c r="L114" t="s">
        <v>11</v>
      </c>
    </row>
    <row r="115" spans="3:12" x14ac:dyDescent="0.25">
      <c r="C115" s="6">
        <f>'IAx - Small'!D26</f>
        <v>580</v>
      </c>
      <c r="D115" s="6" t="str">
        <f>'IAx - Small'!B26</f>
        <v>Frame: 51 ----- Stem: Integrated ----- Carbon Aerobar (optional): + 10</v>
      </c>
      <c r="E115" s="6">
        <f t="shared" si="37"/>
        <v>1</v>
      </c>
      <c r="F115" s="6" t="str">
        <f t="shared" si="38"/>
        <v/>
      </c>
      <c r="G115" s="6" t="str">
        <f t="shared" si="39"/>
        <v/>
      </c>
      <c r="H115" s="6">
        <f t="shared" si="40"/>
        <v>11</v>
      </c>
      <c r="I115" s="6">
        <f t="shared" si="36"/>
        <v>1</v>
      </c>
      <c r="J115" s="6" t="str">
        <f>'IAx - Small'!G26</f>
        <v xml:space="preserve">Stem Bolts: N/A ----- Aerobar Bolts: Top 50mm; Bottom N/A </v>
      </c>
      <c r="K115" s="11">
        <v>1</v>
      </c>
      <c r="L115" t="s">
        <v>11</v>
      </c>
    </row>
    <row r="116" spans="3:12" x14ac:dyDescent="0.25">
      <c r="C116" s="6">
        <f>'IAx - Small'!D27</f>
        <v>585</v>
      </c>
      <c r="D116" s="6" t="str">
        <f>'IAx - Small'!B27</f>
        <v>Frame: 51 ----- Stem: Integrated ----- Carbon Aerobar (optional): + 5 + 10</v>
      </c>
      <c r="E116" s="6">
        <f t="shared" si="37"/>
        <v>1</v>
      </c>
      <c r="F116" s="6" t="str">
        <f t="shared" si="38"/>
        <v/>
      </c>
      <c r="G116" s="6" t="str">
        <f t="shared" si="39"/>
        <v/>
      </c>
      <c r="H116" s="6">
        <f t="shared" si="40"/>
        <v>11</v>
      </c>
      <c r="I116" s="6">
        <f t="shared" si="36"/>
        <v>1</v>
      </c>
      <c r="J116" s="6" t="str">
        <f>'IAx - Small'!G27</f>
        <v xml:space="preserve">Stem Bolts: N/A ----- Aerobar Bolts: Top 55mm; Bottom N/A </v>
      </c>
      <c r="K116" s="11">
        <v>1</v>
      </c>
      <c r="L116" t="s">
        <v>11</v>
      </c>
    </row>
    <row r="117" spans="3:12" x14ac:dyDescent="0.25">
      <c r="C117" s="6">
        <f>'IAx - Small'!D28</f>
        <v>590</v>
      </c>
      <c r="D117" s="6" t="str">
        <f>'IAx - Small'!B28</f>
        <v>Frame: 51 ----- Stem: Integrated ----- Carbon Aerobar (optional): + 20</v>
      </c>
      <c r="E117" s="6">
        <f t="shared" si="37"/>
        <v>1</v>
      </c>
      <c r="F117" s="6" t="str">
        <f t="shared" si="38"/>
        <v/>
      </c>
      <c r="G117" s="6" t="str">
        <f t="shared" si="39"/>
        <v/>
      </c>
      <c r="H117" s="6">
        <f t="shared" si="40"/>
        <v>11</v>
      </c>
      <c r="I117" s="6">
        <f t="shared" si="36"/>
        <v>1</v>
      </c>
      <c r="J117" s="6" t="str">
        <f>'IAx - Small'!G28</f>
        <v xml:space="preserve">Stem Bolts: N/A ----- Aerobar Bolts: Top 20mm; Bottom 30mm </v>
      </c>
      <c r="K117" s="11">
        <v>1</v>
      </c>
      <c r="L117" t="s">
        <v>11</v>
      </c>
    </row>
    <row r="118" spans="3:12" x14ac:dyDescent="0.25">
      <c r="C118" s="6">
        <f>'IAx - Small'!D29</f>
        <v>595</v>
      </c>
      <c r="D118" s="6" t="str">
        <f>'IAx - Small'!B29</f>
        <v xml:space="preserve">Frame: 51 ----- Stem: Integrated ----- Carbon Aerobar (optional): + 20 + 5 </v>
      </c>
      <c r="E118" s="6">
        <f t="shared" si="37"/>
        <v>1</v>
      </c>
      <c r="F118" s="6" t="str">
        <f t="shared" si="38"/>
        <v/>
      </c>
      <c r="G118" s="6" t="str">
        <f t="shared" si="39"/>
        <v/>
      </c>
      <c r="H118" s="6">
        <f t="shared" si="40"/>
        <v>11</v>
      </c>
      <c r="I118" s="6">
        <f t="shared" si="36"/>
        <v>1</v>
      </c>
      <c r="J118" s="6" t="str">
        <f>'IAx - Small'!G29</f>
        <v xml:space="preserve">Stem Bolts: N/A ----- Aerobar Bolts: Top 25mm; Bottom 30mm </v>
      </c>
      <c r="K118" s="11">
        <v>1</v>
      </c>
      <c r="L118" t="s">
        <v>11</v>
      </c>
    </row>
    <row r="119" spans="3:12" x14ac:dyDescent="0.25">
      <c r="C119" s="6">
        <f>'IAx - Small'!D30</f>
        <v>595</v>
      </c>
      <c r="D119" s="6" t="str">
        <f>'IAx - Small'!B30</f>
        <v>Frame: 51 ----- Stem: Integrated ----- Carbon Aerobar (optional): + 20 + bridge</v>
      </c>
      <c r="E119" s="6">
        <f t="shared" si="37"/>
        <v>1</v>
      </c>
      <c r="F119" s="6" t="str">
        <f t="shared" si="38"/>
        <v/>
      </c>
      <c r="G119" s="6" t="str">
        <f t="shared" si="39"/>
        <v/>
      </c>
      <c r="H119" s="6">
        <f t="shared" si="40"/>
        <v>11</v>
      </c>
      <c r="I119" s="6">
        <f t="shared" si="36"/>
        <v>1</v>
      </c>
      <c r="J119" s="6" t="str">
        <f>'IAx - Small'!G30</f>
        <v xml:space="preserve">Stem Bolts: N/A ----- Aerobar Bolts: Top 25mm; Bottom 30mm </v>
      </c>
      <c r="K119" s="11">
        <v>1</v>
      </c>
      <c r="L119" t="s">
        <v>11</v>
      </c>
    </row>
    <row r="120" spans="3:12" x14ac:dyDescent="0.25">
      <c r="C120" s="6">
        <f>'IAx - Small'!D31</f>
        <v>600</v>
      </c>
      <c r="D120" s="6" t="str">
        <f>'IAx - Small'!B31</f>
        <v>Frame: 51 ----- Stem: Integrated ----- Carbon Aerobar (optional): + 20 + bridge + 5</v>
      </c>
      <c r="E120" s="6">
        <f t="shared" si="37"/>
        <v>1</v>
      </c>
      <c r="F120" s="6" t="str">
        <f t="shared" si="38"/>
        <v/>
      </c>
      <c r="G120" s="6" t="str">
        <f t="shared" si="39"/>
        <v/>
      </c>
      <c r="H120" s="6">
        <f t="shared" si="40"/>
        <v>11</v>
      </c>
      <c r="I120" s="6">
        <f t="shared" si="36"/>
        <v>1</v>
      </c>
      <c r="J120" s="6" t="str">
        <f>'IAx - Small'!G31</f>
        <v xml:space="preserve">Stem Bolts: N/A ----- Aerobar Bolts: Top 25mm; Bottom 30mm </v>
      </c>
      <c r="K120" s="11">
        <v>1</v>
      </c>
      <c r="L120" t="s">
        <v>11</v>
      </c>
    </row>
    <row r="121" spans="3:12" x14ac:dyDescent="0.25">
      <c r="C121" s="6">
        <f>'IAx - Small'!D32</f>
        <v>600</v>
      </c>
      <c r="D121" s="6" t="str">
        <f>'IAx - Small'!B32</f>
        <v>Frame: 51 ----- Stem: Integrated ----- Carbon Aerobar (optional): + 30</v>
      </c>
      <c r="E121" s="6">
        <f t="shared" si="37"/>
        <v>1</v>
      </c>
      <c r="F121" s="6">
        <f t="shared" si="38"/>
        <v>1</v>
      </c>
      <c r="G121" s="6" t="str">
        <f t="shared" si="39"/>
        <v/>
      </c>
      <c r="H121" s="6">
        <f t="shared" si="40"/>
        <v>11</v>
      </c>
      <c r="I121" s="6">
        <f t="shared" si="36"/>
        <v>1</v>
      </c>
      <c r="J121" s="6" t="str">
        <f>'IAx - Small'!G32</f>
        <v xml:space="preserve">Stem Bolts: N/A ----- Aerobar Bolts: Top 30mm; Bottom 30mm </v>
      </c>
      <c r="K121" s="11">
        <v>1</v>
      </c>
      <c r="L121" t="s">
        <v>11</v>
      </c>
    </row>
    <row r="122" spans="3:12" x14ac:dyDescent="0.25">
      <c r="C122" s="6">
        <f>'IAx - Small'!D33</f>
        <v>605</v>
      </c>
      <c r="D122" s="6" t="str">
        <f>'IAx - Small'!B33</f>
        <v>Frame: 51 ----- Stem: Integrated ----- Carbon Aerobar (optional): + 30 + bridge</v>
      </c>
      <c r="E122" s="6">
        <f t="shared" si="37"/>
        <v>1</v>
      </c>
      <c r="F122" s="6">
        <f t="shared" si="38"/>
        <v>1</v>
      </c>
      <c r="G122" s="6" t="str">
        <f t="shared" si="39"/>
        <v/>
      </c>
      <c r="H122" s="6">
        <f t="shared" si="40"/>
        <v>11</v>
      </c>
      <c r="I122" s="6">
        <f t="shared" si="36"/>
        <v>1</v>
      </c>
      <c r="J122" s="6" t="str">
        <f>'IAx - Small'!G33</f>
        <v xml:space="preserve">Stem Bolts: N/A ----- Aerobar Bolts: Top 30mm; Bottom 30mm </v>
      </c>
      <c r="K122" s="11">
        <v>1</v>
      </c>
      <c r="L122" t="s">
        <v>11</v>
      </c>
    </row>
    <row r="123" spans="3:12" x14ac:dyDescent="0.25">
      <c r="C123" s="6">
        <f>'IAx - Small'!D34</f>
        <v>610</v>
      </c>
      <c r="D123" s="6" t="str">
        <f>'IAx - Small'!B34</f>
        <v>Frame: 51 ----- Stem: Integrated ----- Carbon Aerobar (optional): + 30 + bridge + 5</v>
      </c>
      <c r="E123" s="6">
        <f t="shared" si="37"/>
        <v>1</v>
      </c>
      <c r="F123" s="6">
        <f t="shared" si="38"/>
        <v>1</v>
      </c>
      <c r="G123" s="6" t="str">
        <f t="shared" si="39"/>
        <v/>
      </c>
      <c r="H123" s="6">
        <f t="shared" si="40"/>
        <v>11</v>
      </c>
      <c r="I123" s="6">
        <f t="shared" si="36"/>
        <v>1</v>
      </c>
      <c r="J123" s="6" t="str">
        <f>'IAx - Small'!G34</f>
        <v xml:space="preserve">Stem Bolts: N/A ----- Aerobar Bolts: Top 35mm; Bottom 30mm </v>
      </c>
      <c r="K123" s="11">
        <v>1</v>
      </c>
      <c r="L123" t="s">
        <v>11</v>
      </c>
    </row>
    <row r="124" spans="3:12" x14ac:dyDescent="0.25">
      <c r="C124" s="6">
        <f>'IAx - Small'!D35</f>
        <v>615</v>
      </c>
      <c r="D124" s="6" t="str">
        <f>'IAx - Small'!B35</f>
        <v>Frame: 51 ----- Stem: Integrated ----- Carbon Aerobar (optional): + 40 + bridge</v>
      </c>
      <c r="E124" s="6">
        <f t="shared" si="37"/>
        <v>1</v>
      </c>
      <c r="F124" s="6" t="str">
        <f t="shared" si="38"/>
        <v/>
      </c>
      <c r="G124" s="6">
        <f t="shared" si="39"/>
        <v>1</v>
      </c>
      <c r="H124" s="6">
        <f t="shared" si="40"/>
        <v>11</v>
      </c>
      <c r="I124" s="6">
        <f t="shared" si="36"/>
        <v>1</v>
      </c>
      <c r="J124" s="6" t="str">
        <f>'IAx - Small'!G35</f>
        <v xml:space="preserve">Stem Bolts: N/A ----- Aerobar Bolts: Top 35mm; Bottom 30mm </v>
      </c>
      <c r="K124" s="11">
        <v>1</v>
      </c>
      <c r="L124" t="s">
        <v>11</v>
      </c>
    </row>
    <row r="125" spans="3:12" x14ac:dyDescent="0.25">
      <c r="C125" s="6">
        <f>'IAx - Small'!D36</f>
        <v>620</v>
      </c>
      <c r="D125" s="6" t="str">
        <f>'IAx - Small'!B36</f>
        <v>Frame: 51 ----- Stem: Integrated ----- Carbon Aerobar (optional): + 40 + bridge + 5</v>
      </c>
      <c r="E125" s="6">
        <f t="shared" si="37"/>
        <v>1</v>
      </c>
      <c r="F125" s="6" t="str">
        <f t="shared" si="38"/>
        <v/>
      </c>
      <c r="G125" s="6">
        <f t="shared" si="39"/>
        <v>1</v>
      </c>
      <c r="H125" s="6">
        <f t="shared" si="40"/>
        <v>11</v>
      </c>
      <c r="I125" s="6">
        <f t="shared" si="36"/>
        <v>1</v>
      </c>
      <c r="J125" s="6" t="str">
        <f>'IAx - Small'!G36</f>
        <v xml:space="preserve">Stem Bolts: N/A ----- Aerobar Bolts: Top 35mm; Bottom 30mm </v>
      </c>
      <c r="K125" s="11">
        <v>1</v>
      </c>
      <c r="L125" t="s">
        <v>11</v>
      </c>
    </row>
    <row r="126" spans="3:12" x14ac:dyDescent="0.25">
      <c r="C126" s="6">
        <f>'IAx - Small'!D37</f>
        <v>625</v>
      </c>
      <c r="D126" s="6" t="str">
        <f>'IAx - Small'!B37</f>
        <v>Frame: 51 ----- Stem: Integrated ----- Carbon Aerobar (optional): + 40 + bridge + 10</v>
      </c>
      <c r="E126" s="6">
        <f t="shared" si="37"/>
        <v>1</v>
      </c>
      <c r="F126" s="6" t="str">
        <f t="shared" si="38"/>
        <v/>
      </c>
      <c r="G126" s="6">
        <f t="shared" si="39"/>
        <v>1</v>
      </c>
      <c r="H126" s="6">
        <f t="shared" si="40"/>
        <v>11</v>
      </c>
      <c r="I126" s="6">
        <f t="shared" si="36"/>
        <v>1</v>
      </c>
      <c r="J126" s="6" t="str">
        <f>'IAx - Small'!G37</f>
        <v xml:space="preserve">Stem Bolts: N/A ----- Aerobar Bolts: Top 40mm; Bottom 30mm </v>
      </c>
      <c r="K126" s="11">
        <v>1</v>
      </c>
      <c r="L126" t="s">
        <v>11</v>
      </c>
    </row>
    <row r="127" spans="3:12" x14ac:dyDescent="0.25">
      <c r="C127" s="6">
        <f>'IAx - Small'!D38</f>
        <v>630</v>
      </c>
      <c r="D127" s="6" t="str">
        <f>'IAx - Small'!B38</f>
        <v>Frame: 51 ----- Stem: Integrated ----- Carbon Aerobar (optional): + 40 + bridge + 5 + 10</v>
      </c>
      <c r="E127" s="6">
        <f t="shared" si="37"/>
        <v>1</v>
      </c>
      <c r="F127" s="6" t="str">
        <f t="shared" si="38"/>
        <v/>
      </c>
      <c r="G127" s="6">
        <f t="shared" si="39"/>
        <v>1</v>
      </c>
      <c r="H127" s="6">
        <f t="shared" si="40"/>
        <v>11</v>
      </c>
      <c r="I127" s="6">
        <f t="shared" si="36"/>
        <v>1</v>
      </c>
      <c r="J127" s="6" t="str">
        <f>'IAx - Small'!G38</f>
        <v xml:space="preserve">Stem Bolts: N/A ----- Aerobar Bolts: Top 45mm; Bottom 30mm </v>
      </c>
      <c r="K127" s="11">
        <v>1</v>
      </c>
      <c r="L127" t="s">
        <v>11</v>
      </c>
    </row>
    <row r="128" spans="3:12" x14ac:dyDescent="0.25">
      <c r="C128" s="11">
        <f>'IAx - XS'!D9</f>
        <v>560</v>
      </c>
      <c r="D128" s="11" t="str">
        <f>'IAx - XS'!B9</f>
        <v xml:space="preserve">Frame: 48 ----- Stem: Integrated ----- Alloy Aerobar: </v>
      </c>
      <c r="E128" s="11">
        <f>$W$5*$X$5</f>
        <v>1</v>
      </c>
      <c r="F128" s="11" t="str">
        <f t="shared" ref="F128:F142" si="41">IF(ISNUMBER(FIND("30",D128)),1,"")</f>
        <v/>
      </c>
      <c r="G128" s="11" t="str">
        <f t="shared" ref="G128:G142" si="42">IF(ISNUMBER(FIND("40",D128)),1,"")</f>
        <v/>
      </c>
      <c r="H128" s="11">
        <f t="shared" ref="H128:H142" si="43">$E$4-$U$12</f>
        <v>26</v>
      </c>
      <c r="I128" s="11">
        <f t="shared" si="36"/>
        <v>1</v>
      </c>
      <c r="J128" s="11" t="str">
        <f>'IAx - XS'!G9</f>
        <v xml:space="preserve">Stem Bolts: N/A ----- Aerobar Bolts: Top 20mm; Bottom N/A </v>
      </c>
      <c r="K128" s="11">
        <v>1</v>
      </c>
      <c r="L128" t="s">
        <v>11</v>
      </c>
    </row>
    <row r="129" spans="3:12" x14ac:dyDescent="0.25">
      <c r="C129" s="11">
        <f>'IAx - XS'!D10</f>
        <v>565</v>
      </c>
      <c r="D129" s="11" t="str">
        <f>'IAx - XS'!B10</f>
        <v>Frame: 48 ----- Stem: Integrated ----- Alloy Aerobar: + 5</v>
      </c>
      <c r="E129" s="11">
        <f t="shared" ref="E129:E157" si="44">$W$5*$X$5</f>
        <v>1</v>
      </c>
      <c r="F129" s="11" t="str">
        <f t="shared" si="41"/>
        <v/>
      </c>
      <c r="G129" s="11" t="str">
        <f t="shared" si="42"/>
        <v/>
      </c>
      <c r="H129" s="11">
        <f t="shared" si="43"/>
        <v>26</v>
      </c>
      <c r="I129" s="11">
        <f t="shared" si="36"/>
        <v>1</v>
      </c>
      <c r="J129" s="11" t="str">
        <f>'IAx - XS'!G10</f>
        <v xml:space="preserve">Stem Bolts: N/A ----- Aerobar Bolts: Top 25mm; Bottom N/A </v>
      </c>
      <c r="K129" s="11">
        <v>1</v>
      </c>
      <c r="L129" t="s">
        <v>11</v>
      </c>
    </row>
    <row r="130" spans="3:12" x14ac:dyDescent="0.25">
      <c r="C130" s="11">
        <f>'IAx - XS'!D11</f>
        <v>570</v>
      </c>
      <c r="D130" s="11" t="str">
        <f>'IAx - XS'!B11</f>
        <v>Frame: 48 ----- Stem: Integrated ----- Alloy Aerobar: + 10</v>
      </c>
      <c r="E130" s="11">
        <f t="shared" si="44"/>
        <v>1</v>
      </c>
      <c r="F130" s="11" t="str">
        <f t="shared" si="41"/>
        <v/>
      </c>
      <c r="G130" s="11" t="str">
        <f t="shared" si="42"/>
        <v/>
      </c>
      <c r="H130" s="11">
        <f t="shared" si="43"/>
        <v>26</v>
      </c>
      <c r="I130" s="11">
        <f t="shared" si="36"/>
        <v>1</v>
      </c>
      <c r="J130" s="11" t="str">
        <f>'IAx - XS'!G11</f>
        <v xml:space="preserve">Stem Bolts: N/A ----- Aerobar Bolts: Top 30mm; Bottom N/A </v>
      </c>
      <c r="K130" s="11">
        <v>1</v>
      </c>
      <c r="L130" t="s">
        <v>11</v>
      </c>
    </row>
    <row r="131" spans="3:12" x14ac:dyDescent="0.25">
      <c r="C131" s="11">
        <f>'IAx - XS'!D12</f>
        <v>575</v>
      </c>
      <c r="D131" s="11" t="str">
        <f>'IAx - XS'!B12</f>
        <v>Frame: 48 ----- Stem: Integrated ----- Alloy Aerobar: + 5 + 10</v>
      </c>
      <c r="E131" s="11">
        <f t="shared" si="44"/>
        <v>1</v>
      </c>
      <c r="F131" s="11" t="str">
        <f t="shared" si="41"/>
        <v/>
      </c>
      <c r="G131" s="11" t="str">
        <f t="shared" si="42"/>
        <v/>
      </c>
      <c r="H131" s="11">
        <f t="shared" si="43"/>
        <v>26</v>
      </c>
      <c r="I131" s="11">
        <f t="shared" si="36"/>
        <v>1</v>
      </c>
      <c r="J131" s="11" t="str">
        <f>'IAx - XS'!G12</f>
        <v xml:space="preserve">Stem Bolts: N/A ----- Aerobar Bolts: Top 35mm; Bottom N/A </v>
      </c>
      <c r="K131" s="11">
        <v>1</v>
      </c>
      <c r="L131" t="s">
        <v>11</v>
      </c>
    </row>
    <row r="132" spans="3:12" x14ac:dyDescent="0.25">
      <c r="C132" s="11">
        <f>'IAx - XS'!D13</f>
        <v>580</v>
      </c>
      <c r="D132" s="11" t="str">
        <f>'IAx - XS'!B13</f>
        <v>Frame: 48 ----- Stem: Integrated ----- Alloy Aerobar: + 20</v>
      </c>
      <c r="E132" s="11">
        <f t="shared" si="44"/>
        <v>1</v>
      </c>
      <c r="F132" s="11" t="str">
        <f t="shared" si="41"/>
        <v/>
      </c>
      <c r="G132" s="11" t="str">
        <f t="shared" si="42"/>
        <v/>
      </c>
      <c r="H132" s="11">
        <f t="shared" si="43"/>
        <v>26</v>
      </c>
      <c r="I132" s="11">
        <f t="shared" si="36"/>
        <v>1</v>
      </c>
      <c r="J132" s="11" t="str">
        <f>'IAx - XS'!G13</f>
        <v xml:space="preserve">Stem Bolts: N/A ----- Aerobar Bolts: Top 20mm; Bottom 15mm </v>
      </c>
      <c r="K132" s="11">
        <v>1</v>
      </c>
      <c r="L132" t="s">
        <v>11</v>
      </c>
    </row>
    <row r="133" spans="3:12" x14ac:dyDescent="0.25">
      <c r="C133" s="11">
        <f>'IAx - XS'!D14</f>
        <v>585</v>
      </c>
      <c r="D133" s="11" t="str">
        <f>'IAx - XS'!B14</f>
        <v xml:space="preserve">Frame: 48 ----- Stem: Integrated ----- Alloy Aerobar: + 20 + 5 </v>
      </c>
      <c r="E133" s="11">
        <f t="shared" si="44"/>
        <v>1</v>
      </c>
      <c r="F133" s="11" t="str">
        <f t="shared" si="41"/>
        <v/>
      </c>
      <c r="G133" s="11" t="str">
        <f t="shared" si="42"/>
        <v/>
      </c>
      <c r="H133" s="11">
        <f t="shared" si="43"/>
        <v>26</v>
      </c>
      <c r="I133" s="11">
        <f t="shared" si="36"/>
        <v>1</v>
      </c>
      <c r="J133" s="11" t="str">
        <f>'IAx - XS'!G14</f>
        <v xml:space="preserve">Stem Bolts: N/A ----- Aerobar Bolts: Top 25mm; Bottom 15mm </v>
      </c>
      <c r="K133" s="11">
        <v>1</v>
      </c>
      <c r="L133" t="s">
        <v>11</v>
      </c>
    </row>
    <row r="134" spans="3:12" x14ac:dyDescent="0.25">
      <c r="C134" s="11">
        <f>'IAx - XS'!D15</f>
        <v>585</v>
      </c>
      <c r="D134" s="11" t="str">
        <f>'IAx - XS'!B15</f>
        <v>Frame: 48 ----- Stem: Integrated ----- Alloy Aerobar: + 20 + bridge</v>
      </c>
      <c r="E134" s="11">
        <f t="shared" si="44"/>
        <v>1</v>
      </c>
      <c r="F134" s="11" t="str">
        <f t="shared" si="41"/>
        <v/>
      </c>
      <c r="G134" s="11" t="str">
        <f t="shared" si="42"/>
        <v/>
      </c>
      <c r="H134" s="11">
        <f t="shared" si="43"/>
        <v>26</v>
      </c>
      <c r="I134" s="11">
        <f t="shared" si="36"/>
        <v>1</v>
      </c>
      <c r="J134" s="11" t="str">
        <f>'IAx - XS'!G15</f>
        <v xml:space="preserve">Stem Bolts: N/A ----- Aerobar Bolts: Top 25mm; Bottom 15mm </v>
      </c>
      <c r="K134" s="11">
        <v>1</v>
      </c>
      <c r="L134" t="s">
        <v>11</v>
      </c>
    </row>
    <row r="135" spans="3:12" x14ac:dyDescent="0.25">
      <c r="C135" s="11">
        <f>'IAx - XS'!D16</f>
        <v>590</v>
      </c>
      <c r="D135" s="11" t="str">
        <f>'IAx - XS'!B16</f>
        <v>Frame: 48 ----- Stem: Integrated ----- Alloy Aerobar: + 20 + bridge + 5</v>
      </c>
      <c r="E135" s="11">
        <f t="shared" si="44"/>
        <v>1</v>
      </c>
      <c r="F135" s="11" t="str">
        <f t="shared" si="41"/>
        <v/>
      </c>
      <c r="G135" s="11" t="str">
        <f t="shared" si="42"/>
        <v/>
      </c>
      <c r="H135" s="11">
        <f t="shared" si="43"/>
        <v>26</v>
      </c>
      <c r="I135" s="11">
        <f t="shared" si="36"/>
        <v>1</v>
      </c>
      <c r="J135" s="11" t="str">
        <f>'IAx - XS'!G16</f>
        <v xml:space="preserve">Stem Bolts: N/A ----- Aerobar Bolts: Top 25mm; Bottom 15mm </v>
      </c>
      <c r="K135" s="11">
        <v>1</v>
      </c>
      <c r="L135" t="s">
        <v>11</v>
      </c>
    </row>
    <row r="136" spans="3:12" x14ac:dyDescent="0.25">
      <c r="C136" s="11">
        <f>'IAx - XS'!D17</f>
        <v>590</v>
      </c>
      <c r="D136" s="11" t="str">
        <f>'IAx - XS'!B17</f>
        <v>Frame: 48 ----- Stem: Integrated ----- Alloy Aerobar: + 30</v>
      </c>
      <c r="E136" s="11">
        <f t="shared" si="44"/>
        <v>1</v>
      </c>
      <c r="F136" s="11">
        <f t="shared" si="41"/>
        <v>1</v>
      </c>
      <c r="G136" s="11" t="str">
        <f t="shared" si="42"/>
        <v/>
      </c>
      <c r="H136" s="11">
        <f t="shared" si="43"/>
        <v>26</v>
      </c>
      <c r="I136" s="11">
        <f t="shared" si="36"/>
        <v>1</v>
      </c>
      <c r="J136" s="11" t="str">
        <f>'IAx - XS'!G17</f>
        <v xml:space="preserve">Stem Bolts: N/A ----- Aerobar Bolts: Top 25mm; Bottom 15mm </v>
      </c>
      <c r="K136" s="11">
        <v>1</v>
      </c>
      <c r="L136" t="s">
        <v>11</v>
      </c>
    </row>
    <row r="137" spans="3:12" x14ac:dyDescent="0.25">
      <c r="C137" s="11">
        <f>'IAx - XS'!D18</f>
        <v>595</v>
      </c>
      <c r="D137" s="11" t="str">
        <f>'IAx - XS'!B18</f>
        <v>Frame: 48 ----- Stem: Integrated ----- Alloy Aerobar: + 30 + bridge</v>
      </c>
      <c r="E137" s="11">
        <f t="shared" si="44"/>
        <v>1</v>
      </c>
      <c r="F137" s="11">
        <f t="shared" si="41"/>
        <v>1</v>
      </c>
      <c r="G137" s="11" t="str">
        <f t="shared" si="42"/>
        <v/>
      </c>
      <c r="H137" s="11">
        <f t="shared" si="43"/>
        <v>26</v>
      </c>
      <c r="I137" s="11">
        <f t="shared" si="36"/>
        <v>1</v>
      </c>
      <c r="J137" s="11" t="str">
        <f>'IAx - XS'!G18</f>
        <v xml:space="preserve">Stem Bolts: N/A ----- Aerobar Bolts: Top 30mm; Bottom 15mm </v>
      </c>
      <c r="K137" s="11">
        <v>1</v>
      </c>
      <c r="L137" t="s">
        <v>11</v>
      </c>
    </row>
    <row r="138" spans="3:12" x14ac:dyDescent="0.25">
      <c r="C138" s="11">
        <f>'IAx - XS'!D19</f>
        <v>600</v>
      </c>
      <c r="D138" s="11" t="str">
        <f>'IAx - XS'!B19</f>
        <v>Frame: 48 ----- Stem: Integrated ----- Alloy Aerobar: + 30 + bridge + 5</v>
      </c>
      <c r="E138" s="11">
        <f t="shared" si="44"/>
        <v>1</v>
      </c>
      <c r="F138" s="11">
        <f t="shared" si="41"/>
        <v>1</v>
      </c>
      <c r="G138" s="11" t="str">
        <f t="shared" si="42"/>
        <v/>
      </c>
      <c r="H138" s="11">
        <f t="shared" si="43"/>
        <v>26</v>
      </c>
      <c r="I138" s="11">
        <f t="shared" si="36"/>
        <v>1</v>
      </c>
      <c r="J138" s="11" t="str">
        <f>'IAx - XS'!G19</f>
        <v xml:space="preserve">Stem Bolts: N/A ----- Aerobar Bolts: Top 30mm; Bottom 15mm </v>
      </c>
      <c r="K138" s="11">
        <v>1</v>
      </c>
      <c r="L138" t="s">
        <v>11</v>
      </c>
    </row>
    <row r="139" spans="3:12" x14ac:dyDescent="0.25">
      <c r="C139" s="11">
        <f>'IAx - XS'!D20</f>
        <v>605</v>
      </c>
      <c r="D139" s="11" t="str">
        <f>'IAx - XS'!B20</f>
        <v>Frame: 48 ----- Stem: Integrated ----- Alloy Aerobar: + 40 + bridge</v>
      </c>
      <c r="E139" s="11">
        <f t="shared" si="44"/>
        <v>1</v>
      </c>
      <c r="F139" s="11" t="str">
        <f t="shared" si="41"/>
        <v/>
      </c>
      <c r="G139" s="11">
        <f t="shared" si="42"/>
        <v>1</v>
      </c>
      <c r="H139" s="11">
        <f t="shared" si="43"/>
        <v>26</v>
      </c>
      <c r="I139" s="11">
        <f t="shared" si="36"/>
        <v>1</v>
      </c>
      <c r="J139" s="11" t="str">
        <f>'IAx - XS'!G20</f>
        <v xml:space="preserve">Stem Bolts: N/A ----- Aerobar Bolts: Top 35mm; Bottom 15mm </v>
      </c>
      <c r="K139" s="11">
        <v>1</v>
      </c>
      <c r="L139" t="s">
        <v>11</v>
      </c>
    </row>
    <row r="140" spans="3:12" x14ac:dyDescent="0.25">
      <c r="C140" s="11">
        <f>'IAx - XS'!D21</f>
        <v>610</v>
      </c>
      <c r="D140" s="11" t="str">
        <f>'IAx - XS'!B21</f>
        <v>Frame: 48 ----- Stem: Integrated ----- Alloy Aerobar: + 40 + bridge + 5</v>
      </c>
      <c r="E140" s="11">
        <f t="shared" si="44"/>
        <v>1</v>
      </c>
      <c r="F140" s="11" t="str">
        <f t="shared" si="41"/>
        <v/>
      </c>
      <c r="G140" s="11">
        <f t="shared" si="42"/>
        <v>1</v>
      </c>
      <c r="H140" s="11">
        <f t="shared" si="43"/>
        <v>26</v>
      </c>
      <c r="I140" s="11">
        <f t="shared" si="36"/>
        <v>1</v>
      </c>
      <c r="J140" s="11" t="str">
        <f>'IAx - XS'!G21</f>
        <v xml:space="preserve">Stem Bolts: N/A ----- Aerobar Bolts: Top 35mm; Bottom 15mm </v>
      </c>
      <c r="K140" s="11">
        <v>1</v>
      </c>
      <c r="L140" t="s">
        <v>11</v>
      </c>
    </row>
    <row r="141" spans="3:12" x14ac:dyDescent="0.25">
      <c r="C141" s="11">
        <f>'IAx - XS'!D22</f>
        <v>615</v>
      </c>
      <c r="D141" s="11" t="str">
        <f>'IAx - XS'!B22</f>
        <v>Frame: 48 ----- Stem: Integrated ----- Alloy Aerobar: + 40 + bridge + 10</v>
      </c>
      <c r="E141" s="11">
        <f t="shared" si="44"/>
        <v>1</v>
      </c>
      <c r="F141" s="11" t="str">
        <f t="shared" si="41"/>
        <v/>
      </c>
      <c r="G141" s="11">
        <f t="shared" si="42"/>
        <v>1</v>
      </c>
      <c r="H141" s="11">
        <f t="shared" si="43"/>
        <v>26</v>
      </c>
      <c r="I141" s="11">
        <f t="shared" si="36"/>
        <v>1</v>
      </c>
      <c r="J141" s="11" t="str">
        <f>'IAx - XS'!G22</f>
        <v xml:space="preserve">Stem Bolts: N/A ----- Aerobar Bolts: Top 35mm; Bottom 15mm </v>
      </c>
      <c r="K141" s="11">
        <v>1</v>
      </c>
      <c r="L141" t="s">
        <v>11</v>
      </c>
    </row>
    <row r="142" spans="3:12" x14ac:dyDescent="0.25">
      <c r="C142" s="11">
        <f>'IAx - XS'!D23</f>
        <v>620</v>
      </c>
      <c r="D142" s="11" t="str">
        <f>'IAx - XS'!B23</f>
        <v>Frame: 48 ----- Stem: Integrated ----- Alloy Aerobar: + 40 + bridge + 5 + 10</v>
      </c>
      <c r="E142" s="11">
        <f t="shared" si="44"/>
        <v>1</v>
      </c>
      <c r="F142" s="11" t="str">
        <f t="shared" si="41"/>
        <v/>
      </c>
      <c r="G142" s="11">
        <f t="shared" si="42"/>
        <v>1</v>
      </c>
      <c r="H142" s="11">
        <f t="shared" si="43"/>
        <v>26</v>
      </c>
      <c r="I142" s="11">
        <f t="shared" si="36"/>
        <v>1</v>
      </c>
      <c r="J142" s="11" t="str">
        <f>'IAx - XS'!G23</f>
        <v xml:space="preserve">Stem Bolts: N/A ----- Aerobar Bolts: Top 35mm; Bottom 25mm </v>
      </c>
      <c r="K142" s="11">
        <v>1</v>
      </c>
      <c r="L142" t="s">
        <v>11</v>
      </c>
    </row>
    <row r="143" spans="3:12" x14ac:dyDescent="0.25">
      <c r="C143" s="6">
        <f>'IAx - XS'!D24</f>
        <v>0</v>
      </c>
      <c r="D143" s="6" t="str">
        <f>'IAx - XS'!B24</f>
        <v xml:space="preserve">Frame: 48 ----- Stem: Integrated ----- Carbon Aerobar (optional): </v>
      </c>
      <c r="E143" s="6">
        <f t="shared" si="44"/>
        <v>1</v>
      </c>
      <c r="F143" s="6" t="str">
        <f t="shared" ref="F143:F157" si="45">IF(ISNUMBER(FIND("30",D143)),1,"")</f>
        <v/>
      </c>
      <c r="G143" s="6" t="str">
        <f t="shared" ref="G143:G157" si="46">IF(ISNUMBER(FIND("40",D143)),1,"")</f>
        <v/>
      </c>
      <c r="H143" s="6">
        <f t="shared" ref="H143:H157" si="47">$E$4-$U$12</f>
        <v>26</v>
      </c>
      <c r="I143" s="6">
        <f t="shared" si="36"/>
        <v>1</v>
      </c>
      <c r="J143" s="6" t="str">
        <f>'IAx - XS'!G24</f>
        <v xml:space="preserve">Stem Bolts: N/A ----- Aerobar Bolts: Top N/A; Bottom N/A </v>
      </c>
      <c r="K143" s="11">
        <v>1</v>
      </c>
      <c r="L143" t="s">
        <v>11</v>
      </c>
    </row>
    <row r="144" spans="3:12" x14ac:dyDescent="0.25">
      <c r="C144" s="6">
        <f>'IAx - XS'!D25</f>
        <v>555</v>
      </c>
      <c r="D144" s="6" t="str">
        <f>'IAx - XS'!B25</f>
        <v>Frame: 48 ----- Stem: Integrated ----- Carbon Aerobar (optional): + 5</v>
      </c>
      <c r="E144" s="6">
        <f t="shared" si="44"/>
        <v>1</v>
      </c>
      <c r="F144" s="6" t="str">
        <f t="shared" si="45"/>
        <v/>
      </c>
      <c r="G144" s="6" t="str">
        <f t="shared" si="46"/>
        <v/>
      </c>
      <c r="H144" s="6">
        <f t="shared" si="47"/>
        <v>26</v>
      </c>
      <c r="I144" s="6">
        <f t="shared" si="36"/>
        <v>1</v>
      </c>
      <c r="J144" s="6" t="str">
        <f>'IAx - XS'!G25</f>
        <v xml:space="preserve">Stem Bolts: N/A ----- Aerobar Bolts: Top 45mm; Bottom N/A </v>
      </c>
      <c r="K144" s="11">
        <v>1</v>
      </c>
      <c r="L144" t="s">
        <v>11</v>
      </c>
    </row>
    <row r="145" spans="3:12" x14ac:dyDescent="0.25">
      <c r="C145" s="6">
        <f>'IAx - XS'!D26</f>
        <v>560</v>
      </c>
      <c r="D145" s="6" t="str">
        <f>'IAx - XS'!B26</f>
        <v>Frame: 48 ----- Stem: Integrated ----- Carbon Aerobar (optional): + 10</v>
      </c>
      <c r="E145" s="6">
        <f t="shared" si="44"/>
        <v>1</v>
      </c>
      <c r="F145" s="6" t="str">
        <f t="shared" si="45"/>
        <v/>
      </c>
      <c r="G145" s="6" t="str">
        <f t="shared" si="46"/>
        <v/>
      </c>
      <c r="H145" s="6">
        <f t="shared" si="47"/>
        <v>26</v>
      </c>
      <c r="I145" s="6">
        <f t="shared" si="36"/>
        <v>1</v>
      </c>
      <c r="J145" s="6" t="str">
        <f>'IAx - XS'!G26</f>
        <v xml:space="preserve">Stem Bolts: N/A ----- Aerobar Bolts: Top 50mm; Bottom N/A </v>
      </c>
      <c r="K145" s="11">
        <v>1</v>
      </c>
      <c r="L145" t="s">
        <v>11</v>
      </c>
    </row>
    <row r="146" spans="3:12" x14ac:dyDescent="0.25">
      <c r="C146" s="6">
        <f>'IAx - XS'!D27</f>
        <v>565</v>
      </c>
      <c r="D146" s="6" t="str">
        <f>'IAx - XS'!B27</f>
        <v>Frame: 48 ----- Stem: Integrated ----- Carbon Aerobar (optional): + 5 + 10</v>
      </c>
      <c r="E146" s="6">
        <f t="shared" si="44"/>
        <v>1</v>
      </c>
      <c r="F146" s="6" t="str">
        <f t="shared" si="45"/>
        <v/>
      </c>
      <c r="G146" s="6" t="str">
        <f t="shared" si="46"/>
        <v/>
      </c>
      <c r="H146" s="6">
        <f t="shared" si="47"/>
        <v>26</v>
      </c>
      <c r="I146" s="6">
        <f t="shared" si="36"/>
        <v>1</v>
      </c>
      <c r="J146" s="6" t="str">
        <f>'IAx - XS'!G27</f>
        <v xml:space="preserve">Stem Bolts: N/A ----- Aerobar Bolts: Top 55mm; Bottom N/A </v>
      </c>
      <c r="K146" s="11">
        <v>1</v>
      </c>
      <c r="L146" t="s">
        <v>11</v>
      </c>
    </row>
    <row r="147" spans="3:12" x14ac:dyDescent="0.25">
      <c r="C147" s="6">
        <f>'IAx - XS'!D28</f>
        <v>570</v>
      </c>
      <c r="D147" s="6" t="str">
        <f>'IAx - XS'!B28</f>
        <v>Frame: 48 ----- Stem: Integrated ----- Carbon Aerobar (optional): + 20</v>
      </c>
      <c r="E147" s="6">
        <f t="shared" si="44"/>
        <v>1</v>
      </c>
      <c r="F147" s="6" t="str">
        <f t="shared" si="45"/>
        <v/>
      </c>
      <c r="G147" s="6" t="str">
        <f t="shared" si="46"/>
        <v/>
      </c>
      <c r="H147" s="6">
        <f t="shared" si="47"/>
        <v>26</v>
      </c>
      <c r="I147" s="6">
        <f t="shared" si="36"/>
        <v>1</v>
      </c>
      <c r="J147" s="6" t="str">
        <f>'IAx - XS'!G28</f>
        <v xml:space="preserve">Stem Bolts: N/A ----- Aerobar Bolts: Top 20mm; Bottom 30mm </v>
      </c>
      <c r="K147" s="11">
        <v>1</v>
      </c>
      <c r="L147" t="s">
        <v>11</v>
      </c>
    </row>
    <row r="148" spans="3:12" x14ac:dyDescent="0.25">
      <c r="C148" s="6">
        <f>'IAx - XS'!D29</f>
        <v>575</v>
      </c>
      <c r="D148" s="6" t="str">
        <f>'IAx - XS'!B29</f>
        <v xml:space="preserve">Frame: 48 ----- Stem: Integrated ----- Carbon Aerobar (optional): + 20 + 5 </v>
      </c>
      <c r="E148" s="6">
        <f t="shared" si="44"/>
        <v>1</v>
      </c>
      <c r="F148" s="6" t="str">
        <f t="shared" si="45"/>
        <v/>
      </c>
      <c r="G148" s="6" t="str">
        <f t="shared" si="46"/>
        <v/>
      </c>
      <c r="H148" s="6">
        <f t="shared" si="47"/>
        <v>26</v>
      </c>
      <c r="I148" s="6">
        <f t="shared" si="36"/>
        <v>1</v>
      </c>
      <c r="J148" s="6" t="str">
        <f>'IAx - XS'!G29</f>
        <v xml:space="preserve">Stem Bolts: N/A ----- Aerobar Bolts: Top 25mm; Bottom 30mm </v>
      </c>
      <c r="K148" s="11">
        <v>1</v>
      </c>
      <c r="L148" t="s">
        <v>11</v>
      </c>
    </row>
    <row r="149" spans="3:12" x14ac:dyDescent="0.25">
      <c r="C149" s="6">
        <f>'IAx - XS'!D30</f>
        <v>575</v>
      </c>
      <c r="D149" s="6" t="str">
        <f>'IAx - XS'!B30</f>
        <v>Frame: 48 ----- Stem: Integrated ----- Carbon Aerobar (optional): + 20 + bridge</v>
      </c>
      <c r="E149" s="6">
        <f t="shared" si="44"/>
        <v>1</v>
      </c>
      <c r="F149" s="6" t="str">
        <f t="shared" si="45"/>
        <v/>
      </c>
      <c r="G149" s="6" t="str">
        <f t="shared" si="46"/>
        <v/>
      </c>
      <c r="H149" s="6">
        <f t="shared" si="47"/>
        <v>26</v>
      </c>
      <c r="I149" s="6">
        <f t="shared" si="36"/>
        <v>1</v>
      </c>
      <c r="J149" s="6" t="str">
        <f>'IAx - XS'!G30</f>
        <v xml:space="preserve">Stem Bolts: N/A ----- Aerobar Bolts: Top 25mm; Bottom 30mm </v>
      </c>
      <c r="K149" s="11">
        <v>1</v>
      </c>
      <c r="L149" t="s">
        <v>11</v>
      </c>
    </row>
    <row r="150" spans="3:12" x14ac:dyDescent="0.25">
      <c r="C150" s="6">
        <f>'IAx - XS'!D31</f>
        <v>580</v>
      </c>
      <c r="D150" s="6" t="str">
        <f>'IAx - XS'!B31</f>
        <v>Frame: 48 ----- Stem: Integrated ----- Carbon Aerobar (optional): + 20 + bridge + 5</v>
      </c>
      <c r="E150" s="6">
        <f t="shared" si="44"/>
        <v>1</v>
      </c>
      <c r="F150" s="6" t="str">
        <f t="shared" si="45"/>
        <v/>
      </c>
      <c r="G150" s="6" t="str">
        <f t="shared" si="46"/>
        <v/>
      </c>
      <c r="H150" s="6">
        <f t="shared" si="47"/>
        <v>26</v>
      </c>
      <c r="I150" s="6">
        <f t="shared" si="36"/>
        <v>1</v>
      </c>
      <c r="J150" s="6" t="str">
        <f>'IAx - XS'!G31</f>
        <v xml:space="preserve">Stem Bolts: N/A ----- Aerobar Bolts: Top 25mm; Bottom 30mm </v>
      </c>
      <c r="K150" s="11">
        <v>1</v>
      </c>
      <c r="L150" t="s">
        <v>11</v>
      </c>
    </row>
    <row r="151" spans="3:12" x14ac:dyDescent="0.25">
      <c r="C151" s="6">
        <f>'IAx - XS'!D32</f>
        <v>580</v>
      </c>
      <c r="D151" s="6" t="str">
        <f>'IAx - XS'!B32</f>
        <v>Frame: 48 ----- Stem: Integrated ----- Carbon Aerobar (optional): + 30</v>
      </c>
      <c r="E151" s="6">
        <f t="shared" si="44"/>
        <v>1</v>
      </c>
      <c r="F151" s="6">
        <f t="shared" si="45"/>
        <v>1</v>
      </c>
      <c r="G151" s="6" t="str">
        <f t="shared" si="46"/>
        <v/>
      </c>
      <c r="H151" s="6">
        <f t="shared" si="47"/>
        <v>26</v>
      </c>
      <c r="I151" s="6">
        <f t="shared" si="36"/>
        <v>1</v>
      </c>
      <c r="J151" s="6" t="str">
        <f>'IAx - XS'!G32</f>
        <v xml:space="preserve">Stem Bolts: N/A ----- Aerobar Bolts: Top 30mm; Bottom 30mm </v>
      </c>
      <c r="K151" s="11">
        <v>1</v>
      </c>
      <c r="L151" t="s">
        <v>11</v>
      </c>
    </row>
    <row r="152" spans="3:12" x14ac:dyDescent="0.25">
      <c r="C152" s="6">
        <f>'IAx - XS'!D33</f>
        <v>585</v>
      </c>
      <c r="D152" s="6" t="str">
        <f>'IAx - XS'!B33</f>
        <v>Frame: 48 ----- Stem: Integrated ----- Carbon Aerobar (optional): + 30 + bridge</v>
      </c>
      <c r="E152" s="6">
        <f t="shared" si="44"/>
        <v>1</v>
      </c>
      <c r="F152" s="6">
        <f t="shared" si="45"/>
        <v>1</v>
      </c>
      <c r="G152" s="6" t="str">
        <f t="shared" si="46"/>
        <v/>
      </c>
      <c r="H152" s="6">
        <f t="shared" si="47"/>
        <v>26</v>
      </c>
      <c r="I152" s="6">
        <f t="shared" si="36"/>
        <v>1</v>
      </c>
      <c r="J152" s="6" t="str">
        <f>'IAx - XS'!G33</f>
        <v xml:space="preserve">Stem Bolts: N/A ----- Aerobar Bolts: Top 30mm; Bottom 30mm </v>
      </c>
      <c r="K152" s="11">
        <v>1</v>
      </c>
      <c r="L152" t="s">
        <v>11</v>
      </c>
    </row>
    <row r="153" spans="3:12" x14ac:dyDescent="0.25">
      <c r="C153" s="6">
        <f>'IAx - XS'!D34</f>
        <v>590</v>
      </c>
      <c r="D153" s="6" t="str">
        <f>'IAx - XS'!B34</f>
        <v>Frame: 48 ----- Stem: Integrated ----- Carbon Aerobar (optional): + 30 + bridge + 5</v>
      </c>
      <c r="E153" s="6">
        <f t="shared" si="44"/>
        <v>1</v>
      </c>
      <c r="F153" s="6">
        <f t="shared" si="45"/>
        <v>1</v>
      </c>
      <c r="G153" s="6" t="str">
        <f t="shared" si="46"/>
        <v/>
      </c>
      <c r="H153" s="6">
        <f t="shared" si="47"/>
        <v>26</v>
      </c>
      <c r="I153" s="6">
        <f t="shared" si="36"/>
        <v>1</v>
      </c>
      <c r="J153" s="6" t="str">
        <f>'IAx - XS'!G34</f>
        <v xml:space="preserve">Stem Bolts: N/A ----- Aerobar Bolts: Top 35mm; Bottom 30mm </v>
      </c>
      <c r="K153" s="11">
        <v>1</v>
      </c>
      <c r="L153" t="s">
        <v>11</v>
      </c>
    </row>
    <row r="154" spans="3:12" x14ac:dyDescent="0.25">
      <c r="C154" s="6">
        <f>'IAx - XS'!D35</f>
        <v>595</v>
      </c>
      <c r="D154" s="6" t="str">
        <f>'IAx - XS'!B35</f>
        <v>Frame: 48 ----- Stem: Integrated ----- Carbon Aerobar (optional): + 40 + bridge</v>
      </c>
      <c r="E154" s="6">
        <f t="shared" si="44"/>
        <v>1</v>
      </c>
      <c r="F154" s="6" t="str">
        <f t="shared" si="45"/>
        <v/>
      </c>
      <c r="G154" s="6">
        <f t="shared" si="46"/>
        <v>1</v>
      </c>
      <c r="H154" s="6">
        <f t="shared" si="47"/>
        <v>26</v>
      </c>
      <c r="I154" s="6">
        <f t="shared" si="36"/>
        <v>1</v>
      </c>
      <c r="J154" s="6" t="str">
        <f>'IAx - XS'!G35</f>
        <v xml:space="preserve">Stem Bolts: N/A ----- Aerobar Bolts: Top 35mm; Bottom 30mm </v>
      </c>
      <c r="K154" s="11">
        <v>1</v>
      </c>
      <c r="L154" t="s">
        <v>11</v>
      </c>
    </row>
    <row r="155" spans="3:12" x14ac:dyDescent="0.25">
      <c r="C155" s="6">
        <f>'IAx - XS'!D36</f>
        <v>600</v>
      </c>
      <c r="D155" s="6" t="str">
        <f>'IAx - XS'!B36</f>
        <v>Frame: 48 ----- Stem: Integrated ----- Carbon Aerobar (optional): + 40 + bridge + 5</v>
      </c>
      <c r="E155" s="6">
        <f t="shared" si="44"/>
        <v>1</v>
      </c>
      <c r="F155" s="6" t="str">
        <f t="shared" si="45"/>
        <v/>
      </c>
      <c r="G155" s="6">
        <f t="shared" si="46"/>
        <v>1</v>
      </c>
      <c r="H155" s="6">
        <f t="shared" si="47"/>
        <v>26</v>
      </c>
      <c r="I155" s="6">
        <f t="shared" si="36"/>
        <v>1</v>
      </c>
      <c r="J155" s="6" t="str">
        <f>'IAx - XS'!G36</f>
        <v xml:space="preserve">Stem Bolts: N/A ----- Aerobar Bolts: Top 35mm; Bottom 30mm </v>
      </c>
      <c r="K155" s="11">
        <v>1</v>
      </c>
      <c r="L155" t="s">
        <v>11</v>
      </c>
    </row>
    <row r="156" spans="3:12" x14ac:dyDescent="0.25">
      <c r="C156" s="6">
        <f>'IAx - XS'!D37</f>
        <v>605</v>
      </c>
      <c r="D156" s="6" t="str">
        <f>'IAx - XS'!B37</f>
        <v>Frame: 48 ----- Stem: Integrated ----- Carbon Aerobar (optional): + 40 + bridge + 10</v>
      </c>
      <c r="E156" s="6">
        <f t="shared" si="44"/>
        <v>1</v>
      </c>
      <c r="F156" s="6" t="str">
        <f t="shared" si="45"/>
        <v/>
      </c>
      <c r="G156" s="6">
        <f t="shared" si="46"/>
        <v>1</v>
      </c>
      <c r="H156" s="6">
        <f t="shared" si="47"/>
        <v>26</v>
      </c>
      <c r="I156" s="6">
        <f t="shared" si="36"/>
        <v>1</v>
      </c>
      <c r="J156" s="6" t="str">
        <f>'IAx - XS'!G37</f>
        <v xml:space="preserve">Stem Bolts: N/A ----- Aerobar Bolts: Top 40mm; Bottom 30mm </v>
      </c>
      <c r="K156" s="11">
        <v>1</v>
      </c>
      <c r="L156" t="s">
        <v>11</v>
      </c>
    </row>
    <row r="157" spans="3:12" x14ac:dyDescent="0.25">
      <c r="C157" s="6">
        <f>'IAx - XS'!D38</f>
        <v>610</v>
      </c>
      <c r="D157" s="6" t="str">
        <f>'IAx - XS'!B38</f>
        <v>Frame: 48 ----- Stem: Integrated ----- Carbon Aerobar (optional): + 40 + bridge + 5 + 10</v>
      </c>
      <c r="E157" s="6">
        <f t="shared" si="44"/>
        <v>1</v>
      </c>
      <c r="F157" s="6" t="str">
        <f t="shared" si="45"/>
        <v/>
      </c>
      <c r="G157" s="6">
        <f t="shared" si="46"/>
        <v>1</v>
      </c>
      <c r="H157" s="6">
        <f t="shared" si="47"/>
        <v>26</v>
      </c>
      <c r="I157" s="6">
        <f t="shared" si="36"/>
        <v>1</v>
      </c>
      <c r="J157" s="6" t="str">
        <f>'IAx - XS'!G38</f>
        <v xml:space="preserve">Stem Bolts: N/A ----- Aerobar Bolts: Top 45mm; Bottom 30mm </v>
      </c>
      <c r="K157" s="11">
        <v>1</v>
      </c>
      <c r="L157" t="s">
        <v>11</v>
      </c>
    </row>
    <row r="158" spans="3:12" x14ac:dyDescent="0.25">
      <c r="C158" s="11"/>
      <c r="D158" s="11"/>
      <c r="E158" s="11"/>
      <c r="F158" s="11"/>
      <c r="G158" s="11"/>
      <c r="H158" s="11"/>
      <c r="I158" s="11"/>
      <c r="J158" s="11"/>
      <c r="K158" s="11">
        <v>1</v>
      </c>
      <c r="L158" t="s">
        <v>11</v>
      </c>
    </row>
    <row r="159" spans="3:12" x14ac:dyDescent="0.25">
      <c r="C159" s="11"/>
      <c r="D159" s="11"/>
      <c r="E159" s="11"/>
      <c r="F159" s="11"/>
      <c r="G159" s="11"/>
      <c r="H159" s="11"/>
      <c r="I159" s="11"/>
      <c r="J159" s="11"/>
      <c r="K159" s="11">
        <v>1</v>
      </c>
      <c r="L159" t="s">
        <v>11</v>
      </c>
    </row>
    <row r="160" spans="3:12" x14ac:dyDescent="0.25">
      <c r="C160" s="11"/>
      <c r="D160" s="11"/>
      <c r="E160" s="11"/>
      <c r="F160" s="11"/>
      <c r="G160" s="11"/>
      <c r="H160" s="11"/>
      <c r="I160" s="11"/>
      <c r="J160" s="11"/>
      <c r="K160" s="11">
        <v>1</v>
      </c>
      <c r="L160" t="s">
        <v>11</v>
      </c>
    </row>
    <row r="161" spans="3:12" x14ac:dyDescent="0.25">
      <c r="C161" s="11"/>
      <c r="D161" s="11"/>
      <c r="E161" s="11"/>
      <c r="F161" s="11"/>
      <c r="G161" s="11"/>
      <c r="H161" s="11"/>
      <c r="I161" s="11"/>
      <c r="J161" s="11"/>
      <c r="K161" s="11">
        <v>1</v>
      </c>
      <c r="L161" t="s">
        <v>11</v>
      </c>
    </row>
    <row r="162" spans="3:12" x14ac:dyDescent="0.25">
      <c r="C162" s="11"/>
      <c r="D162" s="11"/>
      <c r="E162" s="11"/>
      <c r="F162" s="11"/>
      <c r="G162" s="11"/>
      <c r="H162" s="11"/>
      <c r="I162" s="11"/>
      <c r="J162" s="11"/>
      <c r="K162" s="11">
        <v>1</v>
      </c>
      <c r="L162" t="s">
        <v>11</v>
      </c>
    </row>
    <row r="163" spans="3:12" x14ac:dyDescent="0.25">
      <c r="C163" s="11"/>
      <c r="D163" s="11"/>
      <c r="E163" s="11"/>
      <c r="F163" s="11"/>
      <c r="G163" s="11"/>
      <c r="H163" s="11"/>
      <c r="I163" s="11"/>
      <c r="J163" s="11"/>
      <c r="K163" s="11">
        <v>1</v>
      </c>
      <c r="L163" t="s">
        <v>11</v>
      </c>
    </row>
    <row r="164" spans="3:12" x14ac:dyDescent="0.25">
      <c r="C164" s="11"/>
      <c r="D164" s="11"/>
      <c r="E164" s="11"/>
      <c r="F164" s="11"/>
      <c r="G164" s="11"/>
      <c r="H164" s="11"/>
      <c r="I164" s="11"/>
      <c r="J164" s="11"/>
      <c r="K164" s="11">
        <v>1</v>
      </c>
      <c r="L164" t="s">
        <v>11</v>
      </c>
    </row>
    <row r="165" spans="3:12" x14ac:dyDescent="0.25">
      <c r="C165" s="11"/>
      <c r="D165" s="11"/>
      <c r="E165" s="11"/>
      <c r="F165" s="11"/>
      <c r="G165" s="11"/>
      <c r="H165" s="11"/>
      <c r="I165" s="11"/>
      <c r="J165" s="11"/>
      <c r="K165" s="11">
        <v>1</v>
      </c>
      <c r="L165" t="s">
        <v>11</v>
      </c>
    </row>
    <row r="166" spans="3:12" x14ac:dyDescent="0.25">
      <c r="C166" s="11"/>
      <c r="D166" s="11"/>
      <c r="E166" s="11"/>
      <c r="F166" s="11"/>
      <c r="G166" s="11"/>
      <c r="H166" s="11"/>
      <c r="I166" s="11"/>
      <c r="J166" s="11"/>
      <c r="K166" s="11">
        <v>1</v>
      </c>
      <c r="L166" t="s">
        <v>11</v>
      </c>
    </row>
    <row r="167" spans="3:12" x14ac:dyDescent="0.25">
      <c r="C167" s="11"/>
      <c r="D167" s="11"/>
      <c r="E167" s="11"/>
      <c r="F167" s="11"/>
      <c r="G167" s="11"/>
      <c r="H167" s="11"/>
      <c r="I167" s="11"/>
      <c r="J167" s="11"/>
      <c r="K167" s="11">
        <v>1</v>
      </c>
      <c r="L167" t="s">
        <v>11</v>
      </c>
    </row>
    <row r="168" spans="3:12" x14ac:dyDescent="0.25">
      <c r="C168" s="11"/>
      <c r="D168" s="11"/>
      <c r="E168" s="11"/>
      <c r="F168" s="11"/>
      <c r="G168" s="11"/>
      <c r="H168" s="11"/>
      <c r="I168" s="11"/>
      <c r="J168" s="11"/>
      <c r="K168" s="11">
        <v>1</v>
      </c>
      <c r="L168" t="s">
        <v>11</v>
      </c>
    </row>
    <row r="169" spans="3:12" x14ac:dyDescent="0.25">
      <c r="C169" s="11"/>
      <c r="D169" s="11"/>
      <c r="E169" s="11"/>
      <c r="F169" s="11"/>
      <c r="G169" s="11"/>
      <c r="H169" s="11"/>
      <c r="I169" s="11"/>
      <c r="J169" s="11"/>
      <c r="K169" s="11">
        <v>1</v>
      </c>
      <c r="L169" t="s">
        <v>11</v>
      </c>
    </row>
    <row r="170" spans="3:12" x14ac:dyDescent="0.25">
      <c r="C170" s="11"/>
      <c r="D170" s="11"/>
      <c r="E170" s="11"/>
      <c r="F170" s="11"/>
      <c r="G170" s="11"/>
      <c r="H170" s="11"/>
      <c r="I170" s="11"/>
      <c r="J170" s="11"/>
      <c r="K170" s="11">
        <v>1</v>
      </c>
      <c r="L170" t="s">
        <v>11</v>
      </c>
    </row>
    <row r="171" spans="3:12" x14ac:dyDescent="0.25">
      <c r="C171" s="11"/>
      <c r="D171" s="11"/>
      <c r="E171" s="11"/>
      <c r="F171" s="11"/>
      <c r="G171" s="11"/>
      <c r="H171" s="11"/>
      <c r="I171" s="11"/>
      <c r="J171" s="11"/>
      <c r="K171" s="11">
        <v>1</v>
      </c>
      <c r="L171" t="s">
        <v>11</v>
      </c>
    </row>
    <row r="172" spans="3:12" x14ac:dyDescent="0.25">
      <c r="C172" s="11"/>
      <c r="D172" s="11"/>
      <c r="E172" s="11"/>
      <c r="F172" s="11"/>
      <c r="G172" s="11"/>
      <c r="H172" s="11"/>
      <c r="I172" s="11"/>
      <c r="J172" s="11"/>
      <c r="K172" s="11">
        <v>1</v>
      </c>
      <c r="L172" t="s">
        <v>11</v>
      </c>
    </row>
    <row r="173" spans="3:12" x14ac:dyDescent="0.25">
      <c r="C173" s="11"/>
      <c r="D173" s="11"/>
      <c r="E173" s="11"/>
      <c r="F173" s="11"/>
      <c r="G173" s="11"/>
      <c r="H173" s="11"/>
      <c r="I173" s="11"/>
      <c r="J173" s="11"/>
      <c r="K173" s="11">
        <v>1</v>
      </c>
      <c r="L173" t="s">
        <v>11</v>
      </c>
    </row>
    <row r="174" spans="3:12" x14ac:dyDescent="0.25">
      <c r="C174" s="11"/>
      <c r="D174" s="11"/>
      <c r="E174" s="11"/>
      <c r="F174" s="11"/>
      <c r="G174" s="11"/>
      <c r="H174" s="11"/>
      <c r="I174" s="11"/>
      <c r="J174" s="11"/>
      <c r="K174" s="11">
        <v>1</v>
      </c>
      <c r="L174" t="s">
        <v>11</v>
      </c>
    </row>
    <row r="175" spans="3:12" x14ac:dyDescent="0.25">
      <c r="K175" s="11">
        <v>1</v>
      </c>
      <c r="L175" t="s">
        <v>11</v>
      </c>
    </row>
    <row r="176" spans="3:12" x14ac:dyDescent="0.25">
      <c r="K176" s="11">
        <v>1</v>
      </c>
      <c r="L176" t="s">
        <v>11</v>
      </c>
    </row>
    <row r="177" spans="3:12" x14ac:dyDescent="0.25">
      <c r="K177" s="11">
        <v>1</v>
      </c>
      <c r="L177" t="s">
        <v>11</v>
      </c>
    </row>
    <row r="178" spans="3:12" x14ac:dyDescent="0.25">
      <c r="K178" s="11">
        <v>1</v>
      </c>
      <c r="L178" t="s">
        <v>11</v>
      </c>
    </row>
    <row r="179" spans="3:12" x14ac:dyDescent="0.25">
      <c r="K179" s="11">
        <v>1</v>
      </c>
      <c r="L179" t="s">
        <v>11</v>
      </c>
    </row>
    <row r="180" spans="3:12" x14ac:dyDescent="0.25">
      <c r="K180" s="11">
        <v>1</v>
      </c>
      <c r="L180" t="s">
        <v>11</v>
      </c>
    </row>
    <row r="181" spans="3:12" x14ac:dyDescent="0.25">
      <c r="K181" s="11">
        <v>1</v>
      </c>
      <c r="L181" t="s">
        <v>11</v>
      </c>
    </row>
    <row r="182" spans="3:12" x14ac:dyDescent="0.25">
      <c r="K182" s="11">
        <v>1</v>
      </c>
      <c r="L182" t="s">
        <v>11</v>
      </c>
    </row>
    <row r="183" spans="3:12" x14ac:dyDescent="0.25">
      <c r="K183" s="11">
        <v>1</v>
      </c>
      <c r="L183" t="s">
        <v>11</v>
      </c>
    </row>
    <row r="184" spans="3:12" x14ac:dyDescent="0.25">
      <c r="K184" s="11">
        <v>1</v>
      </c>
      <c r="L184" t="s">
        <v>11</v>
      </c>
    </row>
    <row r="185" spans="3:12" x14ac:dyDescent="0.25">
      <c r="K185" s="11">
        <v>1</v>
      </c>
      <c r="L185" t="s">
        <v>11</v>
      </c>
    </row>
    <row r="186" spans="3:12" x14ac:dyDescent="0.25">
      <c r="K186" s="11">
        <v>1</v>
      </c>
      <c r="L186" t="s">
        <v>11</v>
      </c>
    </row>
    <row r="187" spans="3:12" x14ac:dyDescent="0.25">
      <c r="K187" s="11">
        <v>1</v>
      </c>
      <c r="L187" t="s">
        <v>11</v>
      </c>
    </row>
    <row r="188" spans="3:12" x14ac:dyDescent="0.25">
      <c r="C188" s="6"/>
      <c r="D188" s="6"/>
      <c r="E188" s="6"/>
      <c r="F188" s="6"/>
      <c r="G188" s="6"/>
      <c r="H188" s="6"/>
      <c r="I188" s="6"/>
      <c r="J188" s="6"/>
      <c r="K188" s="11">
        <v>1</v>
      </c>
      <c r="L188" t="s">
        <v>11</v>
      </c>
    </row>
    <row r="189" spans="3:12" x14ac:dyDescent="0.25">
      <c r="C189" s="6"/>
      <c r="D189" s="6"/>
      <c r="E189" s="6"/>
      <c r="F189" s="6"/>
      <c r="G189" s="6"/>
      <c r="H189" s="6"/>
      <c r="I189" s="6"/>
      <c r="J189" s="6"/>
      <c r="K189" s="11">
        <v>1</v>
      </c>
      <c r="L189" t="s">
        <v>11</v>
      </c>
    </row>
    <row r="190" spans="3:12" x14ac:dyDescent="0.25">
      <c r="C190" s="6"/>
      <c r="D190" s="6"/>
      <c r="E190" s="6"/>
      <c r="F190" s="6"/>
      <c r="G190" s="6"/>
      <c r="H190" s="6"/>
      <c r="I190" s="6"/>
      <c r="J190" s="6"/>
      <c r="K190" s="11">
        <v>1</v>
      </c>
      <c r="L190" t="s">
        <v>11</v>
      </c>
    </row>
    <row r="191" spans="3:12" x14ac:dyDescent="0.25">
      <c r="C191" s="6"/>
      <c r="D191" s="6"/>
      <c r="E191" s="6"/>
      <c r="F191" s="6"/>
      <c r="G191" s="6"/>
      <c r="H191" s="6"/>
      <c r="I191" s="6"/>
      <c r="J191" s="6"/>
      <c r="K191" s="11">
        <v>1</v>
      </c>
      <c r="L191" t="s">
        <v>11</v>
      </c>
    </row>
    <row r="192" spans="3:12" x14ac:dyDescent="0.25">
      <c r="C192" s="6"/>
      <c r="D192" s="6"/>
      <c r="E192" s="6"/>
      <c r="F192" s="6"/>
      <c r="G192" s="6"/>
      <c r="H192" s="6"/>
      <c r="I192" s="6"/>
      <c r="J192" s="6"/>
      <c r="K192" s="11">
        <v>1</v>
      </c>
      <c r="L192" t="s">
        <v>11</v>
      </c>
    </row>
    <row r="193" spans="3:12" x14ac:dyDescent="0.25">
      <c r="C193" s="6"/>
      <c r="D193" s="6"/>
      <c r="E193" s="6"/>
      <c r="F193" s="6"/>
      <c r="G193" s="6"/>
      <c r="H193" s="6"/>
      <c r="I193" s="6"/>
      <c r="J193" s="6"/>
      <c r="K193" s="11">
        <v>1</v>
      </c>
      <c r="L193" t="s">
        <v>11</v>
      </c>
    </row>
    <row r="194" spans="3:12" x14ac:dyDescent="0.25">
      <c r="C194" s="6"/>
      <c r="D194" s="6"/>
      <c r="E194" s="6"/>
      <c r="F194" s="6"/>
      <c r="G194" s="6"/>
      <c r="H194" s="6"/>
      <c r="I194" s="6"/>
      <c r="J194" s="6"/>
      <c r="K194" s="11">
        <v>1</v>
      </c>
      <c r="L194" t="s">
        <v>11</v>
      </c>
    </row>
    <row r="195" spans="3:12" x14ac:dyDescent="0.25">
      <c r="C195" s="6"/>
      <c r="D195" s="6"/>
      <c r="E195" s="6"/>
      <c r="F195" s="6"/>
      <c r="G195" s="6"/>
      <c r="H195" s="6"/>
      <c r="I195" s="6"/>
      <c r="J195" s="6"/>
      <c r="K195" s="11">
        <v>1</v>
      </c>
      <c r="L195" t="s">
        <v>11</v>
      </c>
    </row>
    <row r="196" spans="3:12" x14ac:dyDescent="0.25">
      <c r="C196" s="6"/>
      <c r="D196" s="6"/>
      <c r="E196" s="6"/>
      <c r="F196" s="6"/>
      <c r="G196" s="6"/>
      <c r="H196" s="6"/>
      <c r="I196" s="6"/>
      <c r="J196" s="6"/>
      <c r="K196" s="11">
        <v>1</v>
      </c>
      <c r="L196" t="s">
        <v>11</v>
      </c>
    </row>
    <row r="197" spans="3:12" x14ac:dyDescent="0.25">
      <c r="C197" s="6"/>
      <c r="D197" s="6"/>
      <c r="E197" s="6"/>
      <c r="F197" s="6"/>
      <c r="G197" s="6"/>
      <c r="H197" s="6"/>
      <c r="I197" s="6"/>
      <c r="J197" s="6"/>
      <c r="K197" s="11">
        <v>1</v>
      </c>
      <c r="L197" t="s">
        <v>11</v>
      </c>
    </row>
    <row r="198" spans="3:12" x14ac:dyDescent="0.25">
      <c r="C198" s="6"/>
      <c r="D198" s="6"/>
      <c r="E198" s="6"/>
      <c r="F198" s="6"/>
      <c r="G198" s="6"/>
      <c r="H198" s="6"/>
      <c r="I198" s="6"/>
      <c r="J198" s="6"/>
      <c r="K198" s="11">
        <v>1</v>
      </c>
      <c r="L198" t="s">
        <v>11</v>
      </c>
    </row>
    <row r="199" spans="3:12" x14ac:dyDescent="0.25">
      <c r="C199" s="6"/>
      <c r="D199" s="6"/>
      <c r="E199" s="6"/>
      <c r="F199" s="6"/>
      <c r="G199" s="6"/>
      <c r="H199" s="6"/>
      <c r="I199" s="6"/>
      <c r="J199" s="6"/>
      <c r="K199" s="11">
        <v>1</v>
      </c>
      <c r="L199" t="s">
        <v>11</v>
      </c>
    </row>
    <row r="200" spans="3:12" x14ac:dyDescent="0.25">
      <c r="C200" s="6"/>
      <c r="D200" s="6"/>
      <c r="E200" s="6"/>
      <c r="F200" s="6"/>
      <c r="G200" s="6"/>
      <c r="H200" s="6"/>
      <c r="I200" s="6"/>
      <c r="J200" s="6"/>
      <c r="K200" s="11">
        <v>1</v>
      </c>
      <c r="L200" t="s">
        <v>11</v>
      </c>
    </row>
    <row r="201" spans="3:12" x14ac:dyDescent="0.25">
      <c r="C201" s="6"/>
      <c r="D201" s="6"/>
      <c r="E201" s="6"/>
      <c r="F201" s="6"/>
      <c r="G201" s="6"/>
      <c r="H201" s="6"/>
      <c r="I201" s="6"/>
      <c r="J201" s="6"/>
      <c r="K201" s="11">
        <v>1</v>
      </c>
      <c r="L201" t="s">
        <v>11</v>
      </c>
    </row>
    <row r="202" spans="3:12" x14ac:dyDescent="0.25">
      <c r="C202" s="6"/>
      <c r="D202" s="6"/>
      <c r="E202" s="6"/>
      <c r="F202" s="6"/>
      <c r="G202" s="6"/>
      <c r="H202" s="6"/>
      <c r="I202" s="6"/>
      <c r="J202" s="6"/>
      <c r="K202" s="11">
        <v>1</v>
      </c>
      <c r="L202" t="s">
        <v>11</v>
      </c>
    </row>
    <row r="203" spans="3:12" x14ac:dyDescent="0.25">
      <c r="K203" s="11">
        <v>1</v>
      </c>
      <c r="L203" t="s">
        <v>11</v>
      </c>
    </row>
    <row r="204" spans="3:12" x14ac:dyDescent="0.25">
      <c r="K204" s="11">
        <v>1</v>
      </c>
      <c r="L204" t="s">
        <v>11</v>
      </c>
    </row>
    <row r="205" spans="3:12" x14ac:dyDescent="0.25">
      <c r="K205" s="11">
        <v>1</v>
      </c>
      <c r="L205" t="s">
        <v>11</v>
      </c>
    </row>
    <row r="206" spans="3:12" x14ac:dyDescent="0.25">
      <c r="K206" s="11">
        <v>1</v>
      </c>
      <c r="L206" t="s">
        <v>11</v>
      </c>
    </row>
    <row r="207" spans="3:12" x14ac:dyDescent="0.25">
      <c r="K207" s="11">
        <v>1</v>
      </c>
      <c r="L207" t="s">
        <v>11</v>
      </c>
    </row>
    <row r="208" spans="3:12" x14ac:dyDescent="0.25">
      <c r="K208" s="11">
        <v>1</v>
      </c>
      <c r="L208" t="s">
        <v>11</v>
      </c>
    </row>
    <row r="209" spans="3:12" x14ac:dyDescent="0.25">
      <c r="K209" s="11">
        <v>1</v>
      </c>
      <c r="L209" t="s">
        <v>11</v>
      </c>
    </row>
    <row r="210" spans="3:12" x14ac:dyDescent="0.25">
      <c r="K210" s="11">
        <v>1</v>
      </c>
      <c r="L210" t="s">
        <v>11</v>
      </c>
    </row>
    <row r="211" spans="3:12" x14ac:dyDescent="0.25">
      <c r="K211" s="11">
        <v>1</v>
      </c>
      <c r="L211" t="s">
        <v>11</v>
      </c>
    </row>
    <row r="212" spans="3:12" x14ac:dyDescent="0.25">
      <c r="K212" s="11">
        <v>1</v>
      </c>
      <c r="L212" t="s">
        <v>11</v>
      </c>
    </row>
    <row r="213" spans="3:12" x14ac:dyDescent="0.25">
      <c r="K213" s="11">
        <v>1</v>
      </c>
      <c r="L213" t="s">
        <v>11</v>
      </c>
    </row>
    <row r="214" spans="3:12" x14ac:dyDescent="0.25">
      <c r="K214" s="11">
        <v>1</v>
      </c>
      <c r="L214" t="s">
        <v>11</v>
      </c>
    </row>
    <row r="215" spans="3:12" x14ac:dyDescent="0.25">
      <c r="K215" s="11">
        <v>1</v>
      </c>
      <c r="L215" t="s">
        <v>11</v>
      </c>
    </row>
    <row r="216" spans="3:12" x14ac:dyDescent="0.25">
      <c r="K216" s="11">
        <v>1</v>
      </c>
      <c r="L216" t="s">
        <v>11</v>
      </c>
    </row>
    <row r="217" spans="3:12" x14ac:dyDescent="0.25">
      <c r="K217" s="11">
        <v>1</v>
      </c>
      <c r="L217" t="s">
        <v>11</v>
      </c>
    </row>
    <row r="218" spans="3:12" x14ac:dyDescent="0.25">
      <c r="C218" s="6"/>
      <c r="D218" s="6"/>
      <c r="E218" s="6"/>
      <c r="F218" s="6"/>
      <c r="G218" s="6"/>
      <c r="H218" s="6"/>
      <c r="I218" s="6"/>
      <c r="J218" s="6"/>
      <c r="K218" s="11">
        <v>1</v>
      </c>
      <c r="L218" t="s">
        <v>11</v>
      </c>
    </row>
    <row r="219" spans="3:12" x14ac:dyDescent="0.25">
      <c r="C219" s="6"/>
      <c r="D219" s="6"/>
      <c r="E219" s="6"/>
      <c r="F219" s="6"/>
      <c r="G219" s="6"/>
      <c r="H219" s="6"/>
      <c r="I219" s="6"/>
      <c r="J219" s="6"/>
      <c r="K219" s="11">
        <v>1</v>
      </c>
      <c r="L219" t="s">
        <v>11</v>
      </c>
    </row>
    <row r="220" spans="3:12" x14ac:dyDescent="0.25">
      <c r="C220" s="6"/>
      <c r="D220" s="6"/>
      <c r="E220" s="6"/>
      <c r="F220" s="6"/>
      <c r="G220" s="6"/>
      <c r="H220" s="6"/>
      <c r="I220" s="6"/>
      <c r="J220" s="6"/>
      <c r="K220" s="11">
        <v>1</v>
      </c>
      <c r="L220" t="s">
        <v>11</v>
      </c>
    </row>
    <row r="221" spans="3:12" x14ac:dyDescent="0.25">
      <c r="C221" s="6"/>
      <c r="D221" s="6"/>
      <c r="E221" s="6"/>
      <c r="F221" s="6"/>
      <c r="G221" s="6"/>
      <c r="H221" s="6"/>
      <c r="I221" s="6"/>
      <c r="J221" s="6"/>
      <c r="K221" s="11">
        <v>1</v>
      </c>
      <c r="L221" t="s">
        <v>11</v>
      </c>
    </row>
    <row r="222" spans="3:12" x14ac:dyDescent="0.25">
      <c r="C222" s="6"/>
      <c r="D222" s="6"/>
      <c r="E222" s="6"/>
      <c r="F222" s="6"/>
      <c r="G222" s="6"/>
      <c r="H222" s="6"/>
      <c r="I222" s="6"/>
      <c r="J222" s="6"/>
      <c r="K222" s="11">
        <v>1</v>
      </c>
      <c r="L222" t="s">
        <v>11</v>
      </c>
    </row>
    <row r="223" spans="3:12" x14ac:dyDescent="0.25">
      <c r="C223" s="6"/>
      <c r="D223" s="6"/>
      <c r="E223" s="6"/>
      <c r="F223" s="6"/>
      <c r="G223" s="6"/>
      <c r="H223" s="6"/>
      <c r="I223" s="6"/>
      <c r="J223" s="6"/>
      <c r="K223" s="11">
        <v>1</v>
      </c>
      <c r="L223" t="s">
        <v>11</v>
      </c>
    </row>
    <row r="224" spans="3:12" x14ac:dyDescent="0.25">
      <c r="C224" s="6"/>
      <c r="D224" s="6"/>
      <c r="E224" s="6"/>
      <c r="F224" s="6"/>
      <c r="G224" s="6"/>
      <c r="H224" s="6"/>
      <c r="I224" s="6"/>
      <c r="J224" s="6"/>
      <c r="K224" s="11">
        <v>1</v>
      </c>
      <c r="L224" t="s">
        <v>11</v>
      </c>
    </row>
    <row r="225" spans="3:12" x14ac:dyDescent="0.25">
      <c r="C225" s="6"/>
      <c r="D225" s="6"/>
      <c r="E225" s="6"/>
      <c r="F225" s="6"/>
      <c r="G225" s="6"/>
      <c r="H225" s="6"/>
      <c r="I225" s="6"/>
      <c r="J225" s="6"/>
      <c r="K225" s="11">
        <v>1</v>
      </c>
      <c r="L225" t="s">
        <v>11</v>
      </c>
    </row>
    <row r="226" spans="3:12" x14ac:dyDescent="0.25">
      <c r="C226" s="6"/>
      <c r="D226" s="6"/>
      <c r="E226" s="6"/>
      <c r="F226" s="6"/>
      <c r="G226" s="6"/>
      <c r="H226" s="6"/>
      <c r="I226" s="6"/>
      <c r="J226" s="6"/>
      <c r="K226" s="11">
        <v>1</v>
      </c>
      <c r="L226" t="s">
        <v>11</v>
      </c>
    </row>
    <row r="227" spans="3:12" x14ac:dyDescent="0.25">
      <c r="C227" s="6"/>
      <c r="D227" s="6"/>
      <c r="E227" s="6"/>
      <c r="F227" s="6"/>
      <c r="G227" s="6"/>
      <c r="H227" s="6"/>
      <c r="I227" s="6"/>
      <c r="J227" s="6"/>
      <c r="K227" s="11">
        <v>1</v>
      </c>
      <c r="L227" t="s">
        <v>11</v>
      </c>
    </row>
    <row r="228" spans="3:12" x14ac:dyDescent="0.25">
      <c r="C228" s="6"/>
      <c r="D228" s="6"/>
      <c r="E228" s="6"/>
      <c r="F228" s="6"/>
      <c r="G228" s="6"/>
      <c r="H228" s="6"/>
      <c r="I228" s="6"/>
      <c r="J228" s="6"/>
      <c r="K228" s="11">
        <v>1</v>
      </c>
      <c r="L228" t="s">
        <v>11</v>
      </c>
    </row>
    <row r="229" spans="3:12" x14ac:dyDescent="0.25">
      <c r="C229" s="6"/>
      <c r="D229" s="6"/>
      <c r="E229" s="6"/>
      <c r="F229" s="6"/>
      <c r="G229" s="6"/>
      <c r="H229" s="6"/>
      <c r="I229" s="6"/>
      <c r="J229" s="6"/>
      <c r="K229" s="11">
        <v>1</v>
      </c>
      <c r="L229" t="s">
        <v>11</v>
      </c>
    </row>
    <row r="230" spans="3:12" x14ac:dyDescent="0.25">
      <c r="C230" s="6"/>
      <c r="D230" s="6"/>
      <c r="E230" s="6"/>
      <c r="F230" s="6"/>
      <c r="G230" s="6"/>
      <c r="H230" s="6"/>
      <c r="I230" s="6"/>
      <c r="J230" s="6"/>
      <c r="K230" s="11">
        <v>1</v>
      </c>
      <c r="L230" t="s">
        <v>11</v>
      </c>
    </row>
    <row r="231" spans="3:12" x14ac:dyDescent="0.25">
      <c r="C231" s="6"/>
      <c r="D231" s="6"/>
      <c r="E231" s="6"/>
      <c r="F231" s="6"/>
      <c r="G231" s="6"/>
      <c r="H231" s="6"/>
      <c r="I231" s="6"/>
      <c r="J231" s="6"/>
      <c r="K231" s="11">
        <v>1</v>
      </c>
      <c r="L231" t="s">
        <v>11</v>
      </c>
    </row>
    <row r="232" spans="3:12" x14ac:dyDescent="0.25">
      <c r="C232" s="6"/>
      <c r="D232" s="6"/>
      <c r="E232" s="6"/>
      <c r="F232" s="6"/>
      <c r="G232" s="6"/>
      <c r="H232" s="6"/>
      <c r="I232" s="6"/>
      <c r="J232" s="6"/>
      <c r="K232" s="11">
        <v>1</v>
      </c>
      <c r="L232" t="s">
        <v>11</v>
      </c>
    </row>
    <row r="233" spans="3:12" x14ac:dyDescent="0.25">
      <c r="K233" s="11">
        <v>1</v>
      </c>
      <c r="L233" t="s">
        <v>11</v>
      </c>
    </row>
    <row r="234" spans="3:12" x14ac:dyDescent="0.25">
      <c r="K234" s="6"/>
      <c r="L234" t="s">
        <v>11</v>
      </c>
    </row>
    <row r="235" spans="3:12" x14ac:dyDescent="0.25">
      <c r="K235" s="6"/>
      <c r="L235" t="s">
        <v>11</v>
      </c>
    </row>
    <row r="236" spans="3:12" x14ac:dyDescent="0.25">
      <c r="K236" s="6"/>
      <c r="L236" t="s">
        <v>11</v>
      </c>
    </row>
    <row r="237" spans="3:12" x14ac:dyDescent="0.25">
      <c r="K237" s="6"/>
      <c r="L237" t="s">
        <v>11</v>
      </c>
    </row>
    <row r="238" spans="3:12" x14ac:dyDescent="0.25">
      <c r="K238" s="6"/>
      <c r="L238" t="s">
        <v>11</v>
      </c>
    </row>
    <row r="239" spans="3:12" x14ac:dyDescent="0.25">
      <c r="K239" s="6"/>
      <c r="L239" t="s">
        <v>11</v>
      </c>
    </row>
    <row r="240" spans="3:12" x14ac:dyDescent="0.25">
      <c r="K240" s="6"/>
      <c r="L240" t="s">
        <v>11</v>
      </c>
    </row>
    <row r="241" spans="3:12" x14ac:dyDescent="0.25">
      <c r="K241" s="6"/>
      <c r="L241" t="s">
        <v>11</v>
      </c>
    </row>
    <row r="242" spans="3:12" x14ac:dyDescent="0.25">
      <c r="K242" s="6"/>
      <c r="L242" t="s">
        <v>11</v>
      </c>
    </row>
    <row r="243" spans="3:12" x14ac:dyDescent="0.25">
      <c r="K243" s="6"/>
      <c r="L243" t="s">
        <v>11</v>
      </c>
    </row>
    <row r="244" spans="3:12" x14ac:dyDescent="0.25">
      <c r="K244" s="6"/>
      <c r="L244" t="s">
        <v>11</v>
      </c>
    </row>
    <row r="245" spans="3:12" x14ac:dyDescent="0.25">
      <c r="K245" s="6"/>
      <c r="L245" t="s">
        <v>11</v>
      </c>
    </row>
    <row r="246" spans="3:12" x14ac:dyDescent="0.25">
      <c r="K246" s="6"/>
      <c r="L246" t="s">
        <v>11</v>
      </c>
    </row>
    <row r="247" spans="3:12" x14ac:dyDescent="0.25">
      <c r="K247" s="6"/>
      <c r="L247" t="s">
        <v>11</v>
      </c>
    </row>
    <row r="248" spans="3:12" x14ac:dyDescent="0.25">
      <c r="C248" s="6"/>
      <c r="D248" s="6"/>
      <c r="E248" s="6"/>
      <c r="F248" s="6"/>
      <c r="G248" s="6"/>
      <c r="H248" s="6"/>
      <c r="I248" s="6"/>
      <c r="J248" s="6"/>
      <c r="K248" s="6"/>
      <c r="L248" t="s">
        <v>11</v>
      </c>
    </row>
    <row r="249" spans="3:12" x14ac:dyDescent="0.25">
      <c r="C249" s="6"/>
      <c r="D249" s="6"/>
      <c r="E249" s="6"/>
      <c r="F249" s="6"/>
      <c r="G249" s="6"/>
      <c r="H249" s="6"/>
      <c r="I249" s="6"/>
      <c r="J249" s="6"/>
      <c r="K249" s="6"/>
      <c r="L249" t="s">
        <v>11</v>
      </c>
    </row>
    <row r="250" spans="3:12" x14ac:dyDescent="0.25">
      <c r="C250" s="6"/>
      <c r="D250" s="6"/>
      <c r="E250" s="6"/>
      <c r="F250" s="6"/>
      <c r="G250" s="6"/>
      <c r="H250" s="6"/>
      <c r="I250" s="6"/>
      <c r="J250" s="6"/>
      <c r="K250" s="6"/>
      <c r="L250" t="s">
        <v>11</v>
      </c>
    </row>
    <row r="251" spans="3:12" x14ac:dyDescent="0.25">
      <c r="C251" s="6"/>
      <c r="D251" s="6"/>
      <c r="E251" s="6"/>
      <c r="F251" s="6"/>
      <c r="G251" s="6"/>
      <c r="H251" s="6"/>
      <c r="I251" s="6"/>
      <c r="J251" s="6"/>
      <c r="K251" s="6"/>
      <c r="L251" t="s">
        <v>11</v>
      </c>
    </row>
    <row r="252" spans="3:12" x14ac:dyDescent="0.25">
      <c r="C252" s="6"/>
      <c r="D252" s="6"/>
      <c r="E252" s="6"/>
      <c r="F252" s="6"/>
      <c r="G252" s="6"/>
      <c r="H252" s="6"/>
      <c r="I252" s="6"/>
      <c r="J252" s="6"/>
      <c r="K252" s="6"/>
      <c r="L252" t="s">
        <v>11</v>
      </c>
    </row>
    <row r="253" spans="3:12" x14ac:dyDescent="0.25">
      <c r="C253" s="6"/>
      <c r="D253" s="6"/>
      <c r="E253" s="6"/>
      <c r="F253" s="6"/>
      <c r="G253" s="6"/>
      <c r="H253" s="6"/>
      <c r="I253" s="6"/>
      <c r="J253" s="6"/>
      <c r="K253" s="6"/>
      <c r="L253" t="s">
        <v>11</v>
      </c>
    </row>
    <row r="254" spans="3:12" x14ac:dyDescent="0.25">
      <c r="C254" s="6"/>
      <c r="D254" s="6"/>
      <c r="E254" s="6"/>
      <c r="F254" s="6"/>
      <c r="G254" s="6"/>
      <c r="H254" s="6"/>
      <c r="I254" s="6"/>
      <c r="J254" s="6"/>
      <c r="K254" s="6"/>
      <c r="L254" t="s">
        <v>11</v>
      </c>
    </row>
    <row r="255" spans="3:12" x14ac:dyDescent="0.25">
      <c r="C255" s="6"/>
      <c r="D255" s="6"/>
      <c r="E255" s="6"/>
      <c r="F255" s="6"/>
      <c r="G255" s="6"/>
      <c r="H255" s="6"/>
      <c r="I255" s="6"/>
      <c r="J255" s="6"/>
      <c r="K255" s="6"/>
      <c r="L255" t="s">
        <v>11</v>
      </c>
    </row>
    <row r="256" spans="3:12" x14ac:dyDescent="0.25">
      <c r="C256" s="6"/>
      <c r="D256" s="6"/>
      <c r="E256" s="6"/>
      <c r="F256" s="6"/>
      <c r="G256" s="6"/>
      <c r="H256" s="6"/>
      <c r="I256" s="6"/>
      <c r="J256" s="6"/>
      <c r="K256" s="6"/>
      <c r="L256" t="s">
        <v>11</v>
      </c>
    </row>
    <row r="257" spans="3:12" x14ac:dyDescent="0.25">
      <c r="C257" s="6"/>
      <c r="D257" s="6"/>
      <c r="E257" s="6"/>
      <c r="F257" s="6"/>
      <c r="G257" s="6"/>
      <c r="H257" s="6"/>
      <c r="I257" s="6"/>
      <c r="J257" s="6"/>
      <c r="K257" s="6"/>
      <c r="L257" t="s">
        <v>11</v>
      </c>
    </row>
    <row r="258" spans="3:12" x14ac:dyDescent="0.25">
      <c r="C258" s="6"/>
      <c r="D258" s="6"/>
      <c r="E258" s="6"/>
      <c r="F258" s="6"/>
      <c r="G258" s="6"/>
      <c r="H258" s="6"/>
      <c r="I258" s="6"/>
      <c r="J258" s="6"/>
      <c r="K258" s="6"/>
      <c r="L258" t="s">
        <v>11</v>
      </c>
    </row>
    <row r="259" spans="3:12" x14ac:dyDescent="0.25">
      <c r="C259" s="6"/>
      <c r="D259" s="6"/>
      <c r="E259" s="6"/>
      <c r="F259" s="6"/>
      <c r="G259" s="6"/>
      <c r="H259" s="6"/>
      <c r="I259" s="6"/>
      <c r="J259" s="6"/>
      <c r="K259" s="6"/>
      <c r="L259" t="s">
        <v>11</v>
      </c>
    </row>
    <row r="260" spans="3:12" x14ac:dyDescent="0.25">
      <c r="C260" s="6"/>
      <c r="D260" s="6"/>
      <c r="E260" s="6"/>
      <c r="F260" s="6"/>
      <c r="G260" s="6"/>
      <c r="H260" s="6"/>
      <c r="I260" s="6"/>
      <c r="J260" s="6"/>
      <c r="K260" s="6"/>
      <c r="L260" t="s">
        <v>11</v>
      </c>
    </row>
    <row r="261" spans="3:12" x14ac:dyDescent="0.25">
      <c r="C261" s="6"/>
      <c r="D261" s="6"/>
      <c r="E261" s="6"/>
      <c r="F261" s="6"/>
      <c r="G261" s="6"/>
      <c r="H261" s="6"/>
      <c r="I261" s="6"/>
      <c r="J261" s="6"/>
      <c r="K261" s="6"/>
      <c r="L261" t="s">
        <v>11</v>
      </c>
    </row>
    <row r="262" spans="3:12" x14ac:dyDescent="0.25">
      <c r="C262" s="6"/>
      <c r="D262" s="6"/>
      <c r="E262" s="6"/>
      <c r="F262" s="6"/>
      <c r="G262" s="6"/>
      <c r="H262" s="6"/>
      <c r="I262" s="6"/>
      <c r="J262" s="6"/>
      <c r="K262" s="6"/>
      <c r="L262" t="s">
        <v>11</v>
      </c>
    </row>
    <row r="263" spans="3:12" x14ac:dyDescent="0.25">
      <c r="K263" s="6"/>
      <c r="L263" t="s">
        <v>11</v>
      </c>
    </row>
    <row r="264" spans="3:12" x14ac:dyDescent="0.25">
      <c r="K264" s="6"/>
      <c r="L264" t="s">
        <v>11</v>
      </c>
    </row>
    <row r="265" spans="3:12" x14ac:dyDescent="0.25">
      <c r="K265" s="6"/>
      <c r="L265" t="s">
        <v>11</v>
      </c>
    </row>
    <row r="266" spans="3:12" x14ac:dyDescent="0.25">
      <c r="K266" s="6"/>
      <c r="L266" t="s">
        <v>11</v>
      </c>
    </row>
    <row r="267" spans="3:12" x14ac:dyDescent="0.25">
      <c r="K267" s="6"/>
      <c r="L267" t="s">
        <v>11</v>
      </c>
    </row>
    <row r="268" spans="3:12" x14ac:dyDescent="0.25">
      <c r="K268" s="6"/>
      <c r="L268" t="s">
        <v>11</v>
      </c>
    </row>
    <row r="269" spans="3:12" x14ac:dyDescent="0.25">
      <c r="K269" s="6"/>
      <c r="L269" t="s">
        <v>11</v>
      </c>
    </row>
    <row r="270" spans="3:12" x14ac:dyDescent="0.25">
      <c r="K270" s="6"/>
      <c r="L270" t="s">
        <v>11</v>
      </c>
    </row>
    <row r="271" spans="3:12" x14ac:dyDescent="0.25">
      <c r="K271" s="6"/>
      <c r="L271" t="s">
        <v>11</v>
      </c>
    </row>
    <row r="272" spans="3:12" x14ac:dyDescent="0.25">
      <c r="K272" s="6"/>
      <c r="L272" t="s">
        <v>11</v>
      </c>
    </row>
    <row r="273" spans="3:12" x14ac:dyDescent="0.25">
      <c r="K273" s="6"/>
      <c r="L273" t="s">
        <v>11</v>
      </c>
    </row>
    <row r="274" spans="3:12" x14ac:dyDescent="0.25">
      <c r="K274" s="6"/>
      <c r="L274" t="s">
        <v>11</v>
      </c>
    </row>
    <row r="275" spans="3:12" x14ac:dyDescent="0.25">
      <c r="K275" s="6"/>
      <c r="L275" t="s">
        <v>11</v>
      </c>
    </row>
    <row r="276" spans="3:12" x14ac:dyDescent="0.25">
      <c r="K276" s="6"/>
      <c r="L276" t="s">
        <v>11</v>
      </c>
    </row>
    <row r="277" spans="3:12" x14ac:dyDescent="0.25">
      <c r="K277" s="6"/>
      <c r="L277" t="s">
        <v>11</v>
      </c>
    </row>
    <row r="278" spans="3:12" x14ac:dyDescent="0.25">
      <c r="C278" s="6"/>
      <c r="D278" s="6"/>
      <c r="E278" s="6"/>
      <c r="F278" s="6"/>
      <c r="G278" s="6"/>
      <c r="H278" s="6"/>
      <c r="I278" s="6"/>
      <c r="J278" s="6"/>
      <c r="K278" s="6"/>
      <c r="L278" t="s">
        <v>11</v>
      </c>
    </row>
    <row r="279" spans="3:12" x14ac:dyDescent="0.25">
      <c r="C279" s="6"/>
      <c r="D279" s="6"/>
      <c r="E279" s="6"/>
      <c r="F279" s="6"/>
      <c r="G279" s="6"/>
      <c r="H279" s="6"/>
      <c r="I279" s="6"/>
      <c r="J279" s="6"/>
      <c r="K279" s="6"/>
      <c r="L279" t="s">
        <v>11</v>
      </c>
    </row>
    <row r="280" spans="3:12" x14ac:dyDescent="0.25">
      <c r="C280" s="6"/>
      <c r="D280" s="6"/>
      <c r="E280" s="6"/>
      <c r="F280" s="6"/>
      <c r="G280" s="6"/>
      <c r="H280" s="6"/>
      <c r="I280" s="6"/>
      <c r="J280" s="6"/>
      <c r="K280" s="6"/>
      <c r="L280" t="s">
        <v>11</v>
      </c>
    </row>
    <row r="281" spans="3:12" x14ac:dyDescent="0.25">
      <c r="C281" s="6"/>
      <c r="D281" s="6"/>
      <c r="E281" s="6"/>
      <c r="F281" s="6"/>
      <c r="G281" s="6"/>
      <c r="H281" s="6"/>
      <c r="I281" s="6"/>
      <c r="J281" s="6"/>
      <c r="K281" s="6"/>
      <c r="L281" t="s">
        <v>11</v>
      </c>
    </row>
    <row r="282" spans="3:12" x14ac:dyDescent="0.25">
      <c r="C282" s="6"/>
      <c r="D282" s="6"/>
      <c r="E282" s="6"/>
      <c r="F282" s="6"/>
      <c r="G282" s="6"/>
      <c r="H282" s="6"/>
      <c r="I282" s="6"/>
      <c r="J282" s="6"/>
      <c r="K282" s="6"/>
      <c r="L282" t="s">
        <v>11</v>
      </c>
    </row>
    <row r="283" spans="3:12" x14ac:dyDescent="0.25">
      <c r="C283" s="6"/>
      <c r="D283" s="6"/>
      <c r="E283" s="6"/>
      <c r="F283" s="6"/>
      <c r="G283" s="6"/>
      <c r="H283" s="6"/>
      <c r="I283" s="6"/>
      <c r="J283" s="6"/>
      <c r="K283" s="6"/>
      <c r="L283" t="s">
        <v>11</v>
      </c>
    </row>
    <row r="284" spans="3:12" x14ac:dyDescent="0.25">
      <c r="C284" s="6"/>
      <c r="D284" s="6"/>
      <c r="E284" s="6"/>
      <c r="F284" s="6"/>
      <c r="G284" s="6"/>
      <c r="H284" s="6"/>
      <c r="I284" s="6"/>
      <c r="J284" s="6"/>
      <c r="K284" s="6"/>
      <c r="L284" t="s">
        <v>11</v>
      </c>
    </row>
    <row r="285" spans="3:12" x14ac:dyDescent="0.25">
      <c r="C285" s="6"/>
      <c r="D285" s="6"/>
      <c r="E285" s="6"/>
      <c r="F285" s="6"/>
      <c r="G285" s="6"/>
      <c r="H285" s="6"/>
      <c r="I285" s="6"/>
      <c r="J285" s="6"/>
      <c r="K285" s="6"/>
      <c r="L285" t="s">
        <v>11</v>
      </c>
    </row>
    <row r="286" spans="3:12" x14ac:dyDescent="0.25">
      <c r="C286" s="6"/>
      <c r="D286" s="6"/>
      <c r="E286" s="6"/>
      <c r="F286" s="6"/>
      <c r="G286" s="6"/>
      <c r="H286" s="6"/>
      <c r="I286" s="6"/>
      <c r="J286" s="6"/>
      <c r="K286" s="6"/>
      <c r="L286" t="s">
        <v>11</v>
      </c>
    </row>
    <row r="287" spans="3:12" x14ac:dyDescent="0.25">
      <c r="C287" s="6"/>
      <c r="D287" s="6"/>
      <c r="E287" s="6"/>
      <c r="F287" s="6"/>
      <c r="G287" s="6"/>
      <c r="H287" s="6"/>
      <c r="I287" s="6"/>
      <c r="J287" s="6"/>
      <c r="K287" s="6"/>
      <c r="L287" t="s">
        <v>11</v>
      </c>
    </row>
    <row r="288" spans="3:12" x14ac:dyDescent="0.25">
      <c r="C288" s="6"/>
      <c r="D288" s="6"/>
      <c r="E288" s="6"/>
      <c r="F288" s="6"/>
      <c r="G288" s="6"/>
      <c r="H288" s="6"/>
      <c r="I288" s="6"/>
      <c r="J288" s="6"/>
      <c r="K288" s="6"/>
      <c r="L288" t="s">
        <v>11</v>
      </c>
    </row>
    <row r="289" spans="3:12" x14ac:dyDescent="0.25">
      <c r="C289" s="6"/>
      <c r="D289" s="6"/>
      <c r="E289" s="6"/>
      <c r="F289" s="6"/>
      <c r="G289" s="6"/>
      <c r="H289" s="6"/>
      <c r="I289" s="6"/>
      <c r="J289" s="6"/>
      <c r="K289" s="6"/>
      <c r="L289" t="s">
        <v>11</v>
      </c>
    </row>
    <row r="290" spans="3:12" x14ac:dyDescent="0.25">
      <c r="C290" s="6"/>
      <c r="D290" s="6"/>
      <c r="E290" s="6"/>
      <c r="F290" s="6"/>
      <c r="G290" s="6"/>
      <c r="H290" s="6"/>
      <c r="I290" s="6"/>
      <c r="J290" s="6"/>
      <c r="K290" s="6"/>
      <c r="L290" t="s">
        <v>11</v>
      </c>
    </row>
    <row r="291" spans="3:12" x14ac:dyDescent="0.25">
      <c r="C291" s="6"/>
      <c r="D291" s="6"/>
      <c r="E291" s="6"/>
      <c r="F291" s="6"/>
      <c r="G291" s="6"/>
      <c r="H291" s="6"/>
      <c r="I291" s="6"/>
      <c r="J291" s="6"/>
      <c r="K291" s="6"/>
      <c r="L291" t="s">
        <v>11</v>
      </c>
    </row>
    <row r="292" spans="3:12" x14ac:dyDescent="0.25">
      <c r="C292" s="6"/>
      <c r="D292" s="6"/>
      <c r="E292" s="6"/>
      <c r="F292" s="6"/>
      <c r="G292" s="6"/>
      <c r="H292" s="6"/>
      <c r="I292" s="6"/>
      <c r="J292" s="6"/>
      <c r="K292" s="6"/>
      <c r="L292" t="s">
        <v>11</v>
      </c>
    </row>
    <row r="293" spans="3:12" x14ac:dyDescent="0.25">
      <c r="K293" s="6"/>
      <c r="L293" t="s">
        <v>11</v>
      </c>
    </row>
    <row r="294" spans="3:12" x14ac:dyDescent="0.25">
      <c r="K294" s="6"/>
      <c r="L294" t="s">
        <v>11</v>
      </c>
    </row>
    <row r="295" spans="3:12" x14ac:dyDescent="0.25">
      <c r="K295" s="6"/>
      <c r="L295" t="s">
        <v>11</v>
      </c>
    </row>
    <row r="296" spans="3:12" x14ac:dyDescent="0.25">
      <c r="K296" s="6"/>
      <c r="L296" t="s">
        <v>11</v>
      </c>
    </row>
    <row r="297" spans="3:12" x14ac:dyDescent="0.25">
      <c r="K297" s="6"/>
      <c r="L297" t="s">
        <v>11</v>
      </c>
    </row>
    <row r="298" spans="3:12" x14ac:dyDescent="0.25">
      <c r="K298" s="6"/>
      <c r="L298" t="s">
        <v>11</v>
      </c>
    </row>
    <row r="299" spans="3:12" x14ac:dyDescent="0.25">
      <c r="K299" s="6"/>
      <c r="L299" t="s">
        <v>11</v>
      </c>
    </row>
    <row r="300" spans="3:12" x14ac:dyDescent="0.25">
      <c r="K300" s="6"/>
      <c r="L300" t="s">
        <v>11</v>
      </c>
    </row>
    <row r="301" spans="3:12" x14ac:dyDescent="0.25">
      <c r="K301" s="6"/>
      <c r="L301" t="s">
        <v>11</v>
      </c>
    </row>
    <row r="302" spans="3:12" x14ac:dyDescent="0.25">
      <c r="K302" s="6"/>
      <c r="L302" t="s">
        <v>11</v>
      </c>
    </row>
    <row r="303" spans="3:12" x14ac:dyDescent="0.25">
      <c r="K303" s="6"/>
      <c r="L303" t="s">
        <v>11</v>
      </c>
    </row>
    <row r="304" spans="3:12" x14ac:dyDescent="0.25">
      <c r="K304" s="6"/>
      <c r="L304" t="s">
        <v>11</v>
      </c>
    </row>
    <row r="305" spans="3:12" x14ac:dyDescent="0.25">
      <c r="K305" s="6"/>
      <c r="L305" t="s">
        <v>11</v>
      </c>
    </row>
    <row r="306" spans="3:12" x14ac:dyDescent="0.25">
      <c r="K306" s="6"/>
      <c r="L306" t="s">
        <v>11</v>
      </c>
    </row>
    <row r="307" spans="3:12" x14ac:dyDescent="0.25">
      <c r="K307" s="6"/>
      <c r="L307" t="s">
        <v>11</v>
      </c>
    </row>
    <row r="308" spans="3:12" x14ac:dyDescent="0.25">
      <c r="C308" s="6"/>
      <c r="D308" s="6"/>
      <c r="E308" s="6"/>
      <c r="F308" s="6"/>
      <c r="G308" s="6"/>
      <c r="H308" s="6"/>
      <c r="I308" s="6"/>
      <c r="J308" s="6"/>
      <c r="K308" s="6"/>
    </row>
    <row r="309" spans="3:12" x14ac:dyDescent="0.25">
      <c r="C309" s="6"/>
      <c r="D309" s="6"/>
      <c r="E309" s="6"/>
      <c r="F309" s="6"/>
      <c r="G309" s="6"/>
      <c r="H309" s="6"/>
      <c r="I309" s="6"/>
      <c r="J309" s="6"/>
      <c r="K309" s="6"/>
    </row>
    <row r="310" spans="3:12" x14ac:dyDescent="0.25">
      <c r="C310" s="6"/>
      <c r="D310" s="6"/>
      <c r="E310" s="6"/>
      <c r="F310" s="6"/>
      <c r="G310" s="6"/>
      <c r="H310" s="6"/>
      <c r="I310" s="6"/>
      <c r="J310" s="6"/>
      <c r="K310" s="6"/>
    </row>
    <row r="311" spans="3:12" x14ac:dyDescent="0.25">
      <c r="C311" s="6"/>
      <c r="D311" s="6"/>
      <c r="E311" s="6"/>
      <c r="F311" s="6"/>
      <c r="G311" s="6"/>
      <c r="H311" s="6"/>
      <c r="I311" s="6"/>
      <c r="J311" s="6"/>
      <c r="K311" s="6"/>
    </row>
    <row r="312" spans="3:12" x14ac:dyDescent="0.25">
      <c r="C312" s="6"/>
      <c r="D312" s="6"/>
      <c r="E312" s="6"/>
      <c r="F312" s="6"/>
      <c r="G312" s="6"/>
      <c r="H312" s="6"/>
      <c r="I312" s="6"/>
      <c r="J312" s="6"/>
      <c r="K312" s="6"/>
    </row>
    <row r="313" spans="3:12" x14ac:dyDescent="0.25">
      <c r="C313" s="6"/>
      <c r="D313" s="6"/>
      <c r="E313" s="6"/>
      <c r="F313" s="6"/>
      <c r="G313" s="6"/>
      <c r="H313" s="6"/>
      <c r="I313" s="6"/>
      <c r="J313" s="6"/>
      <c r="K313" s="6"/>
    </row>
    <row r="314" spans="3:12" x14ac:dyDescent="0.25">
      <c r="C314" s="6"/>
      <c r="D314" s="6"/>
      <c r="E314" s="6"/>
      <c r="F314" s="6"/>
      <c r="G314" s="6"/>
      <c r="H314" s="6"/>
      <c r="I314" s="6"/>
      <c r="J314" s="6"/>
      <c r="K314" s="6"/>
    </row>
    <row r="315" spans="3:12" x14ac:dyDescent="0.25">
      <c r="C315" s="6"/>
      <c r="D315" s="6"/>
      <c r="E315" s="6"/>
      <c r="F315" s="6"/>
      <c r="G315" s="6"/>
      <c r="H315" s="6"/>
      <c r="I315" s="6"/>
      <c r="J315" s="6"/>
      <c r="K315" s="6"/>
    </row>
    <row r="316" spans="3:12" x14ac:dyDescent="0.25">
      <c r="C316" s="6"/>
      <c r="D316" s="6"/>
      <c r="E316" s="6"/>
      <c r="F316" s="6"/>
      <c r="G316" s="6"/>
      <c r="H316" s="6"/>
      <c r="I316" s="6"/>
      <c r="J316" s="6"/>
      <c r="K316" s="6"/>
    </row>
    <row r="317" spans="3:12" x14ac:dyDescent="0.25">
      <c r="C317" s="6"/>
      <c r="D317" s="6"/>
      <c r="E317" s="6"/>
      <c r="F317" s="6"/>
      <c r="G317" s="6"/>
      <c r="H317" s="6"/>
      <c r="I317" s="6"/>
      <c r="J317" s="6"/>
      <c r="K317" s="6"/>
    </row>
    <row r="318" spans="3:12" x14ac:dyDescent="0.25">
      <c r="C318" s="6"/>
      <c r="D318" s="6"/>
      <c r="E318" s="6"/>
      <c r="F318" s="6"/>
      <c r="G318" s="6"/>
      <c r="H318" s="6"/>
      <c r="I318" s="6"/>
      <c r="J318" s="6"/>
      <c r="K318" s="6"/>
    </row>
    <row r="319" spans="3:12" x14ac:dyDescent="0.25">
      <c r="C319" s="6"/>
      <c r="D319" s="6"/>
      <c r="E319" s="6"/>
      <c r="F319" s="6"/>
      <c r="G319" s="6"/>
      <c r="H319" s="6"/>
      <c r="I319" s="6"/>
      <c r="J319" s="6"/>
      <c r="K319" s="6"/>
    </row>
    <row r="320" spans="3:12" x14ac:dyDescent="0.25">
      <c r="C320" s="6"/>
      <c r="D320" s="6"/>
      <c r="E320" s="6"/>
      <c r="F320" s="6"/>
      <c r="G320" s="6"/>
      <c r="H320" s="6"/>
      <c r="I320" s="6"/>
      <c r="J320" s="6"/>
      <c r="K320" s="6"/>
    </row>
    <row r="321" spans="3:11" x14ac:dyDescent="0.25">
      <c r="C321" s="6"/>
      <c r="D321" s="6"/>
      <c r="E321" s="6"/>
      <c r="F321" s="6"/>
      <c r="G321" s="6"/>
      <c r="H321" s="6"/>
      <c r="I321" s="6"/>
      <c r="J321" s="6"/>
      <c r="K321" s="6"/>
    </row>
    <row r="322" spans="3:11" x14ac:dyDescent="0.25">
      <c r="C322" s="6"/>
      <c r="D322" s="6"/>
      <c r="E322" s="6"/>
      <c r="F322" s="6"/>
      <c r="G322" s="6"/>
      <c r="H322" s="6"/>
      <c r="I322" s="6"/>
      <c r="J322" s="6"/>
      <c r="K322" s="6"/>
    </row>
    <row r="323" spans="3:11" x14ac:dyDescent="0.25">
      <c r="K323" s="6"/>
    </row>
    <row r="324" spans="3:11" x14ac:dyDescent="0.25">
      <c r="K324" s="6"/>
    </row>
    <row r="325" spans="3:11" x14ac:dyDescent="0.25">
      <c r="K325" s="6"/>
    </row>
    <row r="326" spans="3:11" x14ac:dyDescent="0.25">
      <c r="K326" s="6"/>
    </row>
    <row r="327" spans="3:11" x14ac:dyDescent="0.25">
      <c r="K327" s="6"/>
    </row>
    <row r="328" spans="3:11" x14ac:dyDescent="0.25">
      <c r="K328" s="6"/>
    </row>
    <row r="329" spans="3:11" x14ac:dyDescent="0.25">
      <c r="K329" s="6"/>
    </row>
    <row r="330" spans="3:11" x14ac:dyDescent="0.25">
      <c r="K330" s="6"/>
    </row>
    <row r="331" spans="3:11" x14ac:dyDescent="0.25">
      <c r="K331" s="6"/>
    </row>
    <row r="332" spans="3:11" x14ac:dyDescent="0.25">
      <c r="K332" s="6"/>
    </row>
    <row r="333" spans="3:11" x14ac:dyDescent="0.25">
      <c r="K333" s="6"/>
    </row>
    <row r="334" spans="3:11" x14ac:dyDescent="0.25">
      <c r="K334" s="6"/>
    </row>
    <row r="335" spans="3:11" x14ac:dyDescent="0.25">
      <c r="K335" s="6"/>
    </row>
    <row r="336" spans="3:11" x14ac:dyDescent="0.25">
      <c r="K336" s="6"/>
    </row>
    <row r="337" spans="3:11" x14ac:dyDescent="0.25">
      <c r="K337" s="6"/>
    </row>
    <row r="338" spans="3:11" x14ac:dyDescent="0.25">
      <c r="C338" s="6"/>
      <c r="D338" s="6"/>
      <c r="E338" s="6"/>
      <c r="F338" s="6"/>
      <c r="G338" s="6"/>
      <c r="H338" s="6"/>
      <c r="I338" s="6"/>
      <c r="J338" s="6"/>
      <c r="K338" s="6"/>
    </row>
    <row r="339" spans="3:11" x14ac:dyDescent="0.25">
      <c r="C339" s="6"/>
      <c r="D339" s="6"/>
      <c r="E339" s="6"/>
      <c r="F339" s="6"/>
      <c r="G339" s="6"/>
      <c r="H339" s="6"/>
      <c r="I339" s="6"/>
      <c r="J339" s="6"/>
      <c r="K339" s="6"/>
    </row>
    <row r="340" spans="3:11" x14ac:dyDescent="0.25">
      <c r="C340" s="6"/>
      <c r="D340" s="6"/>
      <c r="E340" s="6"/>
      <c r="F340" s="6"/>
      <c r="G340" s="6"/>
      <c r="H340" s="6"/>
      <c r="I340" s="6"/>
      <c r="J340" s="6"/>
      <c r="K340" s="6"/>
    </row>
    <row r="341" spans="3:11" x14ac:dyDescent="0.25">
      <c r="C341" s="6"/>
      <c r="D341" s="6"/>
      <c r="E341" s="6"/>
      <c r="F341" s="6"/>
      <c r="G341" s="6"/>
      <c r="H341" s="6"/>
      <c r="I341" s="6"/>
      <c r="J341" s="6"/>
      <c r="K341" s="6"/>
    </row>
    <row r="342" spans="3:11" x14ac:dyDescent="0.25">
      <c r="C342" s="6"/>
      <c r="D342" s="6"/>
      <c r="E342" s="6"/>
      <c r="F342" s="6"/>
      <c r="G342" s="6"/>
      <c r="H342" s="6"/>
      <c r="I342" s="6"/>
      <c r="J342" s="6"/>
      <c r="K342" s="6"/>
    </row>
    <row r="343" spans="3:11" x14ac:dyDescent="0.25">
      <c r="C343" s="6"/>
      <c r="D343" s="6"/>
      <c r="E343" s="6"/>
      <c r="F343" s="6"/>
      <c r="G343" s="6"/>
      <c r="H343" s="6"/>
      <c r="I343" s="6"/>
      <c r="J343" s="6"/>
      <c r="K343" s="6"/>
    </row>
    <row r="344" spans="3:11" x14ac:dyDescent="0.25">
      <c r="C344" s="6"/>
      <c r="D344" s="6"/>
      <c r="E344" s="6"/>
      <c r="F344" s="6"/>
      <c r="G344" s="6"/>
      <c r="H344" s="6"/>
      <c r="I344" s="6"/>
      <c r="J344" s="6"/>
      <c r="K344" s="6"/>
    </row>
    <row r="345" spans="3:11" x14ac:dyDescent="0.25">
      <c r="C345" s="6"/>
      <c r="D345" s="6"/>
      <c r="E345" s="6"/>
      <c r="F345" s="6"/>
      <c r="G345" s="6"/>
      <c r="H345" s="6"/>
      <c r="I345" s="6"/>
      <c r="J345" s="6"/>
      <c r="K345" s="6"/>
    </row>
    <row r="346" spans="3:11" x14ac:dyDescent="0.25">
      <c r="C346" s="6"/>
      <c r="D346" s="6"/>
      <c r="E346" s="6"/>
      <c r="F346" s="6"/>
      <c r="G346" s="6"/>
      <c r="H346" s="6"/>
      <c r="I346" s="6"/>
      <c r="J346" s="6"/>
      <c r="K346" s="6"/>
    </row>
    <row r="347" spans="3:11" x14ac:dyDescent="0.25">
      <c r="C347" s="6"/>
      <c r="D347" s="6"/>
      <c r="E347" s="6"/>
      <c r="F347" s="6"/>
      <c r="G347" s="6"/>
      <c r="H347" s="6"/>
      <c r="I347" s="6"/>
      <c r="J347" s="6"/>
      <c r="K347" s="6"/>
    </row>
    <row r="348" spans="3:11" x14ac:dyDescent="0.25">
      <c r="C348" s="6"/>
      <c r="D348" s="6"/>
      <c r="E348" s="6"/>
      <c r="F348" s="6"/>
      <c r="G348" s="6"/>
      <c r="H348" s="6"/>
      <c r="I348" s="6"/>
      <c r="J348" s="6"/>
      <c r="K348" s="6"/>
    </row>
    <row r="349" spans="3:11" x14ac:dyDescent="0.25">
      <c r="C349" s="6"/>
      <c r="D349" s="6"/>
      <c r="E349" s="6"/>
      <c r="F349" s="6"/>
      <c r="G349" s="6"/>
      <c r="H349" s="6"/>
      <c r="I349" s="6"/>
      <c r="J349" s="6"/>
      <c r="K349" s="6"/>
    </row>
    <row r="350" spans="3:11" x14ac:dyDescent="0.25">
      <c r="C350" s="6"/>
      <c r="D350" s="6"/>
      <c r="E350" s="6"/>
      <c r="F350" s="6"/>
      <c r="G350" s="6"/>
      <c r="H350" s="6"/>
      <c r="I350" s="6"/>
      <c r="J350" s="6"/>
      <c r="K350" s="6"/>
    </row>
    <row r="351" spans="3:11" x14ac:dyDescent="0.25">
      <c r="C351" s="6"/>
      <c r="D351" s="6"/>
      <c r="E351" s="6"/>
      <c r="F351" s="6"/>
      <c r="G351" s="6"/>
      <c r="H351" s="6"/>
      <c r="I351" s="6"/>
      <c r="J351" s="6"/>
      <c r="K351" s="6"/>
    </row>
    <row r="352" spans="3:11" x14ac:dyDescent="0.25">
      <c r="C352" s="6"/>
      <c r="D352" s="6"/>
      <c r="E352" s="6"/>
      <c r="F352" s="6"/>
      <c r="G352" s="6"/>
      <c r="H352" s="6"/>
      <c r="I352" s="6"/>
      <c r="J352" s="6"/>
      <c r="K352" s="6"/>
    </row>
    <row r="353" spans="3:11" x14ac:dyDescent="0.25">
      <c r="K353" s="6"/>
    </row>
    <row r="354" spans="3:11" x14ac:dyDescent="0.25">
      <c r="K354" s="6"/>
    </row>
    <row r="355" spans="3:11" x14ac:dyDescent="0.25">
      <c r="K355" s="6"/>
    </row>
    <row r="356" spans="3:11" x14ac:dyDescent="0.25">
      <c r="K356" s="6"/>
    </row>
    <row r="357" spans="3:11" x14ac:dyDescent="0.25">
      <c r="K357" s="6"/>
    </row>
    <row r="358" spans="3:11" x14ac:dyDescent="0.25">
      <c r="K358" s="6"/>
    </row>
    <row r="359" spans="3:11" x14ac:dyDescent="0.25">
      <c r="K359" s="6"/>
    </row>
    <row r="360" spans="3:11" x14ac:dyDescent="0.25">
      <c r="K360" s="6"/>
    </row>
    <row r="361" spans="3:11" x14ac:dyDescent="0.25">
      <c r="K361" s="6"/>
    </row>
    <row r="362" spans="3:11" x14ac:dyDescent="0.25">
      <c r="K362" s="6"/>
    </row>
    <row r="363" spans="3:11" x14ac:dyDescent="0.25">
      <c r="K363" s="6"/>
    </row>
    <row r="364" spans="3:11" x14ac:dyDescent="0.25">
      <c r="K364" s="6"/>
    </row>
    <row r="365" spans="3:11" x14ac:dyDescent="0.25">
      <c r="K365" s="6"/>
    </row>
    <row r="366" spans="3:11" x14ac:dyDescent="0.25">
      <c r="K366" s="6"/>
    </row>
    <row r="367" spans="3:11" x14ac:dyDescent="0.25">
      <c r="K367" s="6"/>
    </row>
    <row r="368" spans="3:11" x14ac:dyDescent="0.25">
      <c r="C368" s="6"/>
      <c r="D368" s="6"/>
      <c r="E368" s="6"/>
      <c r="F368" s="6"/>
      <c r="G368" s="6"/>
      <c r="H368" s="6"/>
      <c r="I368" s="6"/>
      <c r="J368" s="6"/>
      <c r="K368" s="6"/>
    </row>
    <row r="369" spans="3:11" x14ac:dyDescent="0.25">
      <c r="C369" s="6"/>
      <c r="D369" s="6"/>
      <c r="E369" s="6"/>
      <c r="F369" s="6"/>
      <c r="G369" s="6"/>
      <c r="H369" s="6"/>
      <c r="I369" s="6"/>
      <c r="J369" s="6"/>
      <c r="K369" s="6"/>
    </row>
    <row r="370" spans="3:11" x14ac:dyDescent="0.25">
      <c r="C370" s="6"/>
      <c r="D370" s="6"/>
      <c r="E370" s="6"/>
      <c r="F370" s="6"/>
      <c r="G370" s="6"/>
      <c r="H370" s="6"/>
      <c r="I370" s="6"/>
      <c r="J370" s="6"/>
      <c r="K370" s="6"/>
    </row>
    <row r="371" spans="3:11" x14ac:dyDescent="0.25">
      <c r="C371" s="6"/>
      <c r="D371" s="6"/>
      <c r="E371" s="6"/>
      <c r="F371" s="6"/>
      <c r="G371" s="6"/>
      <c r="H371" s="6"/>
      <c r="I371" s="6"/>
      <c r="J371" s="6"/>
      <c r="K371" s="6"/>
    </row>
    <row r="372" spans="3:11" x14ac:dyDescent="0.25">
      <c r="C372" s="6"/>
      <c r="D372" s="6"/>
      <c r="E372" s="6"/>
      <c r="F372" s="6"/>
      <c r="G372" s="6"/>
      <c r="H372" s="6"/>
      <c r="I372" s="6"/>
      <c r="J372" s="6"/>
      <c r="K372" s="6"/>
    </row>
    <row r="373" spans="3:11" x14ac:dyDescent="0.25">
      <c r="C373" s="6"/>
      <c r="D373" s="6"/>
      <c r="E373" s="6"/>
      <c r="F373" s="6"/>
      <c r="G373" s="6"/>
      <c r="H373" s="6"/>
      <c r="I373" s="6"/>
      <c r="J373" s="6"/>
      <c r="K373" s="6"/>
    </row>
    <row r="374" spans="3:11" x14ac:dyDescent="0.25">
      <c r="C374" s="6"/>
      <c r="D374" s="6"/>
      <c r="E374" s="6"/>
      <c r="F374" s="6"/>
      <c r="G374" s="6"/>
      <c r="H374" s="6"/>
      <c r="I374" s="6"/>
      <c r="J374" s="6"/>
      <c r="K374" s="6"/>
    </row>
    <row r="375" spans="3:11" x14ac:dyDescent="0.25">
      <c r="C375" s="6"/>
      <c r="D375" s="6"/>
      <c r="E375" s="6"/>
      <c r="F375" s="6"/>
      <c r="G375" s="6"/>
      <c r="H375" s="6"/>
      <c r="I375" s="6"/>
      <c r="J375" s="6"/>
      <c r="K375" s="6"/>
    </row>
    <row r="376" spans="3:11" x14ac:dyDescent="0.25">
      <c r="C376" s="6"/>
      <c r="D376" s="6"/>
      <c r="E376" s="6"/>
      <c r="F376" s="6"/>
      <c r="G376" s="6"/>
      <c r="H376" s="6"/>
      <c r="I376" s="6"/>
      <c r="J376" s="6"/>
      <c r="K376" s="6"/>
    </row>
    <row r="377" spans="3:11" x14ac:dyDescent="0.25">
      <c r="C377" s="6"/>
      <c r="D377" s="6"/>
      <c r="E377" s="6"/>
      <c r="F377" s="6"/>
      <c r="G377" s="6"/>
      <c r="H377" s="6"/>
      <c r="I377" s="6"/>
      <c r="J377" s="6"/>
      <c r="K377" s="6"/>
    </row>
    <row r="378" spans="3:11" x14ac:dyDescent="0.25">
      <c r="C378" s="6"/>
      <c r="D378" s="6"/>
      <c r="E378" s="6"/>
      <c r="F378" s="6"/>
      <c r="G378" s="6"/>
      <c r="H378" s="6"/>
      <c r="I378" s="6"/>
      <c r="J378" s="6"/>
      <c r="K378" s="6"/>
    </row>
    <row r="379" spans="3:11" x14ac:dyDescent="0.25">
      <c r="C379" s="6"/>
      <c r="D379" s="6"/>
      <c r="E379" s="6"/>
      <c r="F379" s="6"/>
      <c r="G379" s="6"/>
      <c r="H379" s="6"/>
      <c r="I379" s="6"/>
      <c r="J379" s="6"/>
      <c r="K379" s="6"/>
    </row>
    <row r="380" spans="3:11" x14ac:dyDescent="0.25">
      <c r="C380" s="6"/>
      <c r="D380" s="6"/>
      <c r="E380" s="6"/>
      <c r="F380" s="6"/>
      <c r="G380" s="6"/>
      <c r="H380" s="6"/>
      <c r="I380" s="6"/>
      <c r="J380" s="6"/>
      <c r="K380" s="6"/>
    </row>
    <row r="381" spans="3:11" x14ac:dyDescent="0.25">
      <c r="C381" s="6"/>
      <c r="D381" s="6"/>
      <c r="E381" s="6"/>
      <c r="F381" s="6"/>
      <c r="G381" s="6"/>
      <c r="H381" s="6"/>
      <c r="I381" s="6"/>
      <c r="J381" s="6"/>
      <c r="K381" s="6"/>
    </row>
    <row r="382" spans="3:11" x14ac:dyDescent="0.25">
      <c r="C382" s="6"/>
      <c r="D382" s="6"/>
      <c r="E382" s="6"/>
      <c r="F382" s="6"/>
      <c r="G382" s="6"/>
      <c r="H382" s="6"/>
      <c r="I382" s="6"/>
      <c r="J382" s="6"/>
      <c r="K382" s="6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B2:W85"/>
  <sheetViews>
    <sheetView zoomScale="70" zoomScaleNormal="70" workbookViewId="0">
      <selection activeCell="O46" sqref="O46"/>
    </sheetView>
  </sheetViews>
  <sheetFormatPr defaultRowHeight="15" x14ac:dyDescent="0.25"/>
  <cols>
    <col min="1" max="1" width="9.140625" style="7"/>
    <col min="2" max="2" width="52.5703125" style="7" bestFit="1" customWidth="1"/>
    <col min="3" max="4" width="9.140625" style="7"/>
    <col min="5" max="5" width="10.42578125" style="7" customWidth="1"/>
    <col min="6" max="6" width="24" style="7" bestFit="1" customWidth="1"/>
    <col min="7" max="7" width="17" style="7" customWidth="1"/>
    <col min="8" max="8" width="9.140625" style="7"/>
    <col min="9" max="9" width="18.7109375" style="7" customWidth="1"/>
    <col min="10" max="13" width="9.140625" style="7"/>
    <col min="14" max="14" width="20.28515625" style="7" customWidth="1"/>
    <col min="15" max="18" width="9.140625" style="7"/>
    <col min="19" max="19" width="21.42578125" style="7" bestFit="1" customWidth="1"/>
    <col min="20" max="20" width="11" style="7" bestFit="1" customWidth="1"/>
    <col min="21" max="21" width="8.28515625" style="7" customWidth="1"/>
    <col min="22" max="22" width="10" style="7" bestFit="1" customWidth="1"/>
    <col min="23" max="16384" width="9.140625" style="7"/>
  </cols>
  <sheetData>
    <row r="2" spans="2:23" x14ac:dyDescent="0.25">
      <c r="B2" s="7" t="s">
        <v>8</v>
      </c>
      <c r="I2" s="7" t="s">
        <v>38</v>
      </c>
      <c r="N2" s="7" t="s">
        <v>39</v>
      </c>
      <c r="P2" s="7">
        <f>40+55</f>
        <v>95</v>
      </c>
      <c r="Q2" s="7">
        <f>235+55</f>
        <v>290</v>
      </c>
      <c r="S2" s="9" t="s">
        <v>71</v>
      </c>
      <c r="V2" s="7" t="s">
        <v>72</v>
      </c>
    </row>
    <row r="3" spans="2:23" x14ac:dyDescent="0.25">
      <c r="B3" s="7" t="s">
        <v>0</v>
      </c>
      <c r="C3" s="7" t="s">
        <v>2</v>
      </c>
      <c r="D3" s="7" t="s">
        <v>1</v>
      </c>
      <c r="I3" s="7" t="s">
        <v>0</v>
      </c>
      <c r="J3" s="7" t="s">
        <v>21</v>
      </c>
      <c r="K3" s="7" t="s">
        <v>22</v>
      </c>
      <c r="S3" s="8" t="s">
        <v>35</v>
      </c>
      <c r="T3" s="7">
        <v>45</v>
      </c>
      <c r="V3" s="7" t="s">
        <v>21</v>
      </c>
      <c r="W3" s="7">
        <v>-30</v>
      </c>
    </row>
    <row r="4" spans="2:23" x14ac:dyDescent="0.25">
      <c r="B4" s="7" t="s">
        <v>3</v>
      </c>
      <c r="C4" s="7">
        <v>381</v>
      </c>
      <c r="D4" s="7">
        <v>473</v>
      </c>
      <c r="I4" s="7" t="s">
        <v>3</v>
      </c>
      <c r="J4" s="7">
        <f>D4+$P$2</f>
        <v>568</v>
      </c>
      <c r="K4" s="7">
        <f>D4+$Q$2</f>
        <v>763</v>
      </c>
      <c r="N4" s="7" t="s">
        <v>55</v>
      </c>
      <c r="S4" s="8">
        <v>31.8</v>
      </c>
      <c r="T4" s="7">
        <v>90</v>
      </c>
      <c r="V4" s="7" t="s">
        <v>22</v>
      </c>
      <c r="W4" s="7">
        <v>50</v>
      </c>
    </row>
    <row r="5" spans="2:23" x14ac:dyDescent="0.25">
      <c r="B5" s="7" t="s">
        <v>4</v>
      </c>
      <c r="C5" s="7">
        <v>389</v>
      </c>
      <c r="D5" s="7">
        <v>501</v>
      </c>
      <c r="I5" s="7" t="s">
        <v>4</v>
      </c>
      <c r="J5" s="7">
        <f t="shared" ref="J5:J8" si="0">D5+$P$2</f>
        <v>596</v>
      </c>
      <c r="K5" s="7">
        <f t="shared" ref="K5:K8" si="1">D5+$Q$2</f>
        <v>791</v>
      </c>
      <c r="N5" s="7" t="s">
        <v>3</v>
      </c>
      <c r="O5" s="7">
        <v>79.5</v>
      </c>
      <c r="S5" s="8" t="s">
        <v>69</v>
      </c>
      <c r="T5" s="7">
        <v>88</v>
      </c>
    </row>
    <row r="6" spans="2:23" x14ac:dyDescent="0.25">
      <c r="B6" s="7" t="s">
        <v>5</v>
      </c>
      <c r="C6" s="7">
        <v>405</v>
      </c>
      <c r="D6" s="7">
        <v>520</v>
      </c>
      <c r="I6" s="7" t="s">
        <v>5</v>
      </c>
      <c r="J6" s="7">
        <f t="shared" si="0"/>
        <v>615</v>
      </c>
      <c r="K6" s="7">
        <f t="shared" si="1"/>
        <v>810</v>
      </c>
      <c r="N6" s="7" t="s">
        <v>4</v>
      </c>
      <c r="O6" s="7">
        <v>79</v>
      </c>
    </row>
    <row r="7" spans="2:23" x14ac:dyDescent="0.25">
      <c r="B7" s="7" t="s">
        <v>6</v>
      </c>
      <c r="C7" s="7">
        <v>425</v>
      </c>
      <c r="D7" s="7">
        <v>544</v>
      </c>
      <c r="I7" s="7" t="s">
        <v>6</v>
      </c>
      <c r="J7" s="7">
        <f t="shared" si="0"/>
        <v>639</v>
      </c>
      <c r="K7" s="7">
        <f t="shared" si="1"/>
        <v>834</v>
      </c>
      <c r="N7" s="7" t="s">
        <v>5</v>
      </c>
      <c r="O7" s="7">
        <v>78.5</v>
      </c>
      <c r="S7" s="9" t="s">
        <v>2</v>
      </c>
    </row>
    <row r="8" spans="2:23" x14ac:dyDescent="0.25">
      <c r="B8" s="7" t="s">
        <v>7</v>
      </c>
      <c r="C8" s="7">
        <v>447</v>
      </c>
      <c r="D8" s="7">
        <v>569</v>
      </c>
      <c r="I8" s="7" t="s">
        <v>7</v>
      </c>
      <c r="J8" s="7">
        <f t="shared" si="0"/>
        <v>664</v>
      </c>
      <c r="K8" s="7">
        <f t="shared" si="1"/>
        <v>859</v>
      </c>
      <c r="N8" s="7" t="s">
        <v>6</v>
      </c>
      <c r="O8" s="7">
        <v>78</v>
      </c>
      <c r="S8" s="9" t="s">
        <v>70</v>
      </c>
      <c r="T8" s="7" t="s">
        <v>35</v>
      </c>
      <c r="U8" s="7">
        <v>31.8</v>
      </c>
      <c r="V8" s="7" t="s">
        <v>69</v>
      </c>
    </row>
    <row r="9" spans="2:23" x14ac:dyDescent="0.25">
      <c r="G9" s="7" t="s">
        <v>48</v>
      </c>
      <c r="N9" s="7" t="s">
        <v>7</v>
      </c>
      <c r="O9" s="7">
        <v>77.5</v>
      </c>
      <c r="S9" s="7" t="s">
        <v>3</v>
      </c>
      <c r="T9" s="7">
        <f>C4+$T$3</f>
        <v>426</v>
      </c>
      <c r="U9" s="7">
        <f>$T$4+C4</f>
        <v>471</v>
      </c>
      <c r="V9" s="7">
        <f>$T$5+C4</f>
        <v>469</v>
      </c>
    </row>
    <row r="10" spans="2:23" x14ac:dyDescent="0.25">
      <c r="B10" s="7" t="s">
        <v>9</v>
      </c>
      <c r="E10" s="7" t="s">
        <v>47</v>
      </c>
      <c r="G10" s="7" t="s">
        <v>49</v>
      </c>
      <c r="H10" s="7" t="s">
        <v>50</v>
      </c>
      <c r="S10" s="7" t="s">
        <v>4</v>
      </c>
      <c r="T10" s="7">
        <f t="shared" ref="T10:T13" si="2">C5+$T$3</f>
        <v>434</v>
      </c>
      <c r="U10" s="7">
        <f t="shared" ref="U10:U13" si="3">$T$4+C5</f>
        <v>479</v>
      </c>
      <c r="V10" s="7">
        <f t="shared" ref="V10:V13" si="4">$T$5+C5</f>
        <v>477</v>
      </c>
    </row>
    <row r="11" spans="2:23" x14ac:dyDescent="0.25">
      <c r="B11" s="7" t="s">
        <v>91</v>
      </c>
      <c r="E11" s="7">
        <v>25</v>
      </c>
      <c r="F11" s="7" t="str">
        <f>IF(E11="N/A","Stem Bolts: N/A -----",TEXT($E$10,0)&amp;" "&amp;TEXT(E11,0)&amp;"mm -----")</f>
        <v>Stem Bolts: 25mm -----</v>
      </c>
      <c r="G11" s="7" t="s">
        <v>102</v>
      </c>
      <c r="H11" s="7" t="s">
        <v>102</v>
      </c>
      <c r="I11" s="7" t="str">
        <f t="shared" ref="I11:I17" si="5">IF(AND(G11="N/A",H11="N/A"),TEXT($G$9,0)&amp;" "&amp;TEXT($G$10,0)&amp;" "&amp;G11&amp;"; "&amp;TEXT($H$10,0)&amp;" "&amp;H11&amp;" ",IF(H11="N/A",TEXT($G$9,0)&amp;" "&amp;TEXT($G$10,0)&amp;" "&amp;G11&amp;"mm; "&amp;TEXT($H$10,0)&amp;" "&amp;H11&amp;" ",TEXT($G$9,0)&amp;" "&amp;TEXT($G$10,0)&amp;" "&amp;G11&amp;"mm; "&amp;TEXT($H$10,0)&amp;" "&amp;H11&amp;"mm "))</f>
        <v xml:space="preserve">Aerobar Bolts: Top N/A; Bottom N/A </v>
      </c>
      <c r="S11" s="7" t="s">
        <v>5</v>
      </c>
      <c r="T11" s="7">
        <f t="shared" si="2"/>
        <v>450</v>
      </c>
      <c r="U11" s="7">
        <f t="shared" si="3"/>
        <v>495</v>
      </c>
      <c r="V11" s="7">
        <f t="shared" si="4"/>
        <v>493</v>
      </c>
    </row>
    <row r="12" spans="2:23" x14ac:dyDescent="0.25">
      <c r="B12" s="7" t="str">
        <f>TEXT($B$11,0) &amp; "+ 5"</f>
        <v>Stem: Integrated ----- Aerobar:+ 5</v>
      </c>
      <c r="C12" s="7">
        <v>45</v>
      </c>
      <c r="D12" s="7">
        <v>78</v>
      </c>
      <c r="E12" s="7">
        <v>25</v>
      </c>
      <c r="F12" s="7" t="str">
        <f t="shared" ref="F12:F75" si="6">IF(E12="N/A","Stem Bolts: N/A -----",TEXT($E$10,0)&amp;" "&amp;TEXT(E12,0)&amp;"mm -----")</f>
        <v>Stem Bolts: 25mm -----</v>
      </c>
      <c r="G12" s="7">
        <v>45</v>
      </c>
      <c r="H12" s="7" t="s">
        <v>102</v>
      </c>
      <c r="I12" s="7" t="str">
        <f t="shared" si="5"/>
        <v xml:space="preserve">Aerobar Bolts: Top 45mm; Bottom N/A </v>
      </c>
      <c r="N12" s="7" t="s">
        <v>56</v>
      </c>
      <c r="O12" s="7" t="s">
        <v>42</v>
      </c>
      <c r="P12" s="7" t="s">
        <v>41</v>
      </c>
      <c r="S12" s="7" t="s">
        <v>6</v>
      </c>
      <c r="T12" s="7">
        <f t="shared" si="2"/>
        <v>470</v>
      </c>
      <c r="U12" s="7">
        <f t="shared" si="3"/>
        <v>515</v>
      </c>
      <c r="V12" s="7">
        <f t="shared" si="4"/>
        <v>513</v>
      </c>
    </row>
    <row r="13" spans="2:23" x14ac:dyDescent="0.25">
      <c r="B13" s="7" t="str">
        <f>TEXT($B$11,0) &amp; "+ 10"</f>
        <v>Stem: Integrated ----- Aerobar:+ 10</v>
      </c>
      <c r="C13" s="7">
        <f>$C$12</f>
        <v>45</v>
      </c>
      <c r="D13" s="7">
        <f>$D$12+5</f>
        <v>83</v>
      </c>
      <c r="E13" s="7">
        <v>25</v>
      </c>
      <c r="F13" s="7" t="str">
        <f t="shared" si="6"/>
        <v>Stem Bolts: 25mm -----</v>
      </c>
      <c r="G13" s="7">
        <v>50</v>
      </c>
      <c r="H13" s="7" t="s">
        <v>102</v>
      </c>
      <c r="I13" s="7" t="str">
        <f t="shared" si="5"/>
        <v xml:space="preserve">Aerobar Bolts: Top 50mm; Bottom N/A </v>
      </c>
      <c r="N13" s="7" t="s">
        <v>57</v>
      </c>
      <c r="O13" s="7">
        <v>120</v>
      </c>
      <c r="P13" s="7">
        <v>160</v>
      </c>
      <c r="S13" s="7" t="s">
        <v>7</v>
      </c>
      <c r="T13" s="7">
        <f t="shared" si="2"/>
        <v>492</v>
      </c>
      <c r="U13" s="7">
        <f t="shared" si="3"/>
        <v>537</v>
      </c>
      <c r="V13" s="7">
        <f t="shared" si="4"/>
        <v>535</v>
      </c>
    </row>
    <row r="14" spans="2:23" x14ac:dyDescent="0.25">
      <c r="B14" s="7" t="str">
        <f>TEXT($B$11,0) &amp; "+ 5 + 10"</f>
        <v>Stem: Integrated ----- Aerobar:+ 5 + 10</v>
      </c>
      <c r="C14" s="7">
        <f t="shared" ref="C14:C25" si="7">$C$12</f>
        <v>45</v>
      </c>
      <c r="D14" s="7">
        <f>$D$12+10</f>
        <v>88</v>
      </c>
      <c r="E14" s="7">
        <v>25</v>
      </c>
      <c r="F14" s="7" t="str">
        <f t="shared" si="6"/>
        <v>Stem Bolts: 25mm -----</v>
      </c>
      <c r="G14" s="7">
        <v>55</v>
      </c>
      <c r="H14" s="7" t="s">
        <v>102</v>
      </c>
      <c r="I14" s="7" t="str">
        <f t="shared" si="5"/>
        <v xml:space="preserve">Aerobar Bolts: Top 55mm; Bottom N/A </v>
      </c>
      <c r="S14" s="9" t="s">
        <v>76</v>
      </c>
    </row>
    <row r="15" spans="2:23" x14ac:dyDescent="0.25">
      <c r="B15" s="7" t="str">
        <f>TEXT($B$11,0) &amp; "+ 20"</f>
        <v>Stem: Integrated ----- Aerobar:+ 20</v>
      </c>
      <c r="C15" s="7">
        <f t="shared" si="7"/>
        <v>45</v>
      </c>
      <c r="D15" s="7">
        <f>$D$12+15</f>
        <v>93</v>
      </c>
      <c r="E15" s="7">
        <v>25</v>
      </c>
      <c r="F15" s="7" t="str">
        <f t="shared" si="6"/>
        <v>Stem Bolts: 25mm -----</v>
      </c>
      <c r="G15" s="7">
        <v>20</v>
      </c>
      <c r="H15" s="7">
        <v>30</v>
      </c>
      <c r="I15" s="7" t="str">
        <f t="shared" si="5"/>
        <v xml:space="preserve">Aerobar Bolts: Top 20mm; Bottom 30mm </v>
      </c>
      <c r="S15" s="7" t="s">
        <v>3</v>
      </c>
      <c r="T15" s="7">
        <f>ROUND(T9/5,0)*5</f>
        <v>425</v>
      </c>
      <c r="U15" s="7">
        <f t="shared" ref="U15:V15" si="8">ROUND(U9/5,0)*5</f>
        <v>470</v>
      </c>
      <c r="V15" s="7">
        <f t="shared" si="8"/>
        <v>470</v>
      </c>
    </row>
    <row r="16" spans="2:23" x14ac:dyDescent="0.25">
      <c r="B16" s="7" t="str">
        <f>TEXT($B$11,0) &amp; "+ 20 + 5"</f>
        <v>Stem: Integrated ----- Aerobar:+ 20 + 5</v>
      </c>
      <c r="C16" s="7">
        <f>$C$12</f>
        <v>45</v>
      </c>
      <c r="D16" s="7">
        <f>$D$12+20</f>
        <v>98</v>
      </c>
      <c r="E16" s="7">
        <v>25</v>
      </c>
      <c r="F16" s="7" t="str">
        <f t="shared" si="6"/>
        <v>Stem Bolts: 25mm -----</v>
      </c>
      <c r="G16" s="7">
        <v>25</v>
      </c>
      <c r="H16" s="7">
        <v>30</v>
      </c>
      <c r="I16" s="7" t="str">
        <f t="shared" si="5"/>
        <v xml:space="preserve">Aerobar Bolts: Top 25mm; Bottom 30mm </v>
      </c>
      <c r="S16" s="7" t="s">
        <v>4</v>
      </c>
      <c r="T16" s="7">
        <f t="shared" ref="T16:V16" si="9">ROUND(T10/5,0)*5</f>
        <v>435</v>
      </c>
      <c r="U16" s="7">
        <f t="shared" si="9"/>
        <v>480</v>
      </c>
      <c r="V16" s="7">
        <f t="shared" si="9"/>
        <v>475</v>
      </c>
    </row>
    <row r="17" spans="2:22" x14ac:dyDescent="0.25">
      <c r="B17" s="7" t="str">
        <f>TEXT($B$11,0) &amp; "+ 20 + bridge"</f>
        <v>Stem: Integrated ----- Aerobar:+ 20 + bridge</v>
      </c>
      <c r="C17" s="7">
        <f t="shared" si="7"/>
        <v>45</v>
      </c>
      <c r="D17" s="7">
        <f>$D$12+20</f>
        <v>98</v>
      </c>
      <c r="E17" s="7">
        <v>25</v>
      </c>
      <c r="F17" s="7" t="str">
        <f t="shared" si="6"/>
        <v>Stem Bolts: 25mm -----</v>
      </c>
      <c r="G17" s="7">
        <v>25</v>
      </c>
      <c r="H17" s="7">
        <v>30</v>
      </c>
      <c r="I17" s="7" t="str">
        <f t="shared" si="5"/>
        <v xml:space="preserve">Aerobar Bolts: Top 25mm; Bottom 30mm </v>
      </c>
      <c r="S17" s="7" t="s">
        <v>5</v>
      </c>
      <c r="T17" s="7">
        <f t="shared" ref="T17:V17" si="10">ROUND(T11/5,0)*5</f>
        <v>450</v>
      </c>
      <c r="U17" s="7">
        <f t="shared" si="10"/>
        <v>495</v>
      </c>
      <c r="V17" s="7">
        <f t="shared" si="10"/>
        <v>495</v>
      </c>
    </row>
    <row r="18" spans="2:22" x14ac:dyDescent="0.25">
      <c r="B18" s="7" t="str">
        <f>TEXT($B$11,0) &amp; "+ 30"</f>
        <v>Stem: Integrated ----- Aerobar:+ 30</v>
      </c>
      <c r="C18" s="7">
        <f t="shared" si="7"/>
        <v>45</v>
      </c>
      <c r="D18" s="7">
        <f>$D$12+25</f>
        <v>103</v>
      </c>
      <c r="E18" s="7">
        <v>25</v>
      </c>
      <c r="F18" s="7" t="str">
        <f t="shared" si="6"/>
        <v>Stem Bolts: 25mm -----</v>
      </c>
      <c r="G18" s="7">
        <v>25</v>
      </c>
      <c r="H18" s="7">
        <v>30</v>
      </c>
      <c r="I18" s="7" t="str">
        <f t="shared" ref="I18:I81" si="11">IF(AND(G18="N/A",H18="N/A"),TEXT($G$9,0)&amp;" "&amp;TEXT($G$10,0)&amp;" "&amp;G18&amp;"; "&amp;TEXT($H$10,0)&amp;" "&amp;H18&amp;" ",IF(H18="N/A",TEXT($G$9,0)&amp;" "&amp;TEXT($G$10,0)&amp;" "&amp;G18&amp;"mm; "&amp;TEXT($H$10,0)&amp;" "&amp;H18&amp;" ",TEXT($G$9,0)&amp;" "&amp;TEXT($G$10,0)&amp;" "&amp;G18&amp;"mm; "&amp;TEXT($H$10,0)&amp;" "&amp;H18&amp;"mm "))</f>
        <v xml:space="preserve">Aerobar Bolts: Top 25mm; Bottom 30mm </v>
      </c>
      <c r="S18" s="7" t="s">
        <v>6</v>
      </c>
      <c r="T18" s="7">
        <f t="shared" ref="T18:V18" si="12">ROUND(T12/5,0)*5</f>
        <v>470</v>
      </c>
      <c r="U18" s="7">
        <f t="shared" si="12"/>
        <v>515</v>
      </c>
      <c r="V18" s="7">
        <f t="shared" si="12"/>
        <v>515</v>
      </c>
    </row>
    <row r="19" spans="2:22" x14ac:dyDescent="0.25">
      <c r="B19" s="7" t="str">
        <f>TEXT($B$11,0) &amp; "+ 20 + bridge + 5"</f>
        <v>Stem: Integrated ----- Aerobar:+ 20 + bridge + 5</v>
      </c>
      <c r="C19" s="7">
        <f t="shared" si="7"/>
        <v>45</v>
      </c>
      <c r="D19" s="7">
        <f>$D$12+25</f>
        <v>103</v>
      </c>
      <c r="E19" s="7">
        <v>25</v>
      </c>
      <c r="F19" s="7" t="str">
        <f t="shared" si="6"/>
        <v>Stem Bolts: 25mm -----</v>
      </c>
      <c r="G19" s="7">
        <v>30</v>
      </c>
      <c r="H19" s="7">
        <v>30</v>
      </c>
      <c r="I19" s="7" t="str">
        <f t="shared" si="11"/>
        <v xml:space="preserve">Aerobar Bolts: Top 30mm; Bottom 30mm </v>
      </c>
      <c r="S19" s="7" t="s">
        <v>7</v>
      </c>
      <c r="T19" s="7">
        <f t="shared" ref="T19:V19" si="13">ROUND(T13/5,0)*5</f>
        <v>490</v>
      </c>
      <c r="U19" s="7">
        <f t="shared" si="13"/>
        <v>535</v>
      </c>
      <c r="V19" s="7">
        <f t="shared" si="13"/>
        <v>535</v>
      </c>
    </row>
    <row r="20" spans="2:22" x14ac:dyDescent="0.25">
      <c r="B20" s="7" t="str">
        <f>TEXT($B$11,0) &amp; "+ 30 + bridge"</f>
        <v>Stem: Integrated ----- Aerobar:+ 30 + bridge</v>
      </c>
      <c r="C20" s="7">
        <f t="shared" si="7"/>
        <v>45</v>
      </c>
      <c r="D20" s="7">
        <f>$D$12+30</f>
        <v>108</v>
      </c>
      <c r="E20" s="7">
        <v>25</v>
      </c>
      <c r="F20" s="7" t="str">
        <f t="shared" si="6"/>
        <v>Stem Bolts: 25mm -----</v>
      </c>
      <c r="G20" s="7">
        <v>30</v>
      </c>
      <c r="H20" s="7">
        <v>30</v>
      </c>
      <c r="I20" s="7" t="str">
        <f t="shared" si="11"/>
        <v xml:space="preserve">Aerobar Bolts: Top 30mm; Bottom 30mm </v>
      </c>
      <c r="S20" s="9" t="s">
        <v>73</v>
      </c>
    </row>
    <row r="21" spans="2:22" x14ac:dyDescent="0.25">
      <c r="B21" s="7" t="str">
        <f>TEXT($B$11,0) &amp; "+ 30 + bridge + 5"</f>
        <v>Stem: Integrated ----- Aerobar:+ 30 + bridge + 5</v>
      </c>
      <c r="C21" s="7">
        <f t="shared" si="7"/>
        <v>45</v>
      </c>
      <c r="D21" s="7">
        <f>$D$12+35</f>
        <v>113</v>
      </c>
      <c r="E21" s="7">
        <v>25</v>
      </c>
      <c r="F21" s="7" t="str">
        <f t="shared" si="6"/>
        <v>Stem Bolts: 25mm -----</v>
      </c>
      <c r="G21" s="7">
        <v>35</v>
      </c>
      <c r="H21" s="7">
        <v>30</v>
      </c>
      <c r="I21" s="7" t="str">
        <f t="shared" si="11"/>
        <v xml:space="preserve">Aerobar Bolts: Top 35mm; Bottom 30mm </v>
      </c>
      <c r="S21" s="7" t="s">
        <v>3</v>
      </c>
      <c r="T21" s="7">
        <f>T15+$W$3</f>
        <v>395</v>
      </c>
      <c r="U21" s="7">
        <f>U15+$W$3</f>
        <v>440</v>
      </c>
      <c r="V21" s="7">
        <f>V15+$W$3</f>
        <v>440</v>
      </c>
    </row>
    <row r="22" spans="2:22" x14ac:dyDescent="0.25">
      <c r="B22" s="7" t="str">
        <f>TEXT($B$11,0) &amp; "+ 40 + bridge"</f>
        <v>Stem: Integrated ----- Aerobar:+ 40 + bridge</v>
      </c>
      <c r="C22" s="7">
        <f t="shared" si="7"/>
        <v>45</v>
      </c>
      <c r="D22" s="7">
        <f>$D$12+40</f>
        <v>118</v>
      </c>
      <c r="E22" s="7">
        <v>25</v>
      </c>
      <c r="F22" s="7" t="str">
        <f t="shared" si="6"/>
        <v>Stem Bolts: 25mm -----</v>
      </c>
      <c r="G22" s="7">
        <v>35</v>
      </c>
      <c r="H22" s="7">
        <v>30</v>
      </c>
      <c r="I22" s="7" t="str">
        <f t="shared" si="11"/>
        <v xml:space="preserve">Aerobar Bolts: Top 35mm; Bottom 30mm </v>
      </c>
      <c r="S22" s="7" t="s">
        <v>4</v>
      </c>
      <c r="T22" s="7">
        <f t="shared" ref="T22:V22" si="14">T16+$W$3</f>
        <v>405</v>
      </c>
      <c r="U22" s="7">
        <f t="shared" si="14"/>
        <v>450</v>
      </c>
      <c r="V22" s="7">
        <f t="shared" si="14"/>
        <v>445</v>
      </c>
    </row>
    <row r="23" spans="2:22" x14ac:dyDescent="0.25">
      <c r="B23" s="7" t="str">
        <f>TEXT($B$11,0) &amp; "+ 40 + bridge + 5"</f>
        <v>Stem: Integrated ----- Aerobar:+ 40 + bridge + 5</v>
      </c>
      <c r="C23" s="7">
        <f t="shared" si="7"/>
        <v>45</v>
      </c>
      <c r="D23" s="7">
        <f>$D$12+45</f>
        <v>123</v>
      </c>
      <c r="E23" s="7">
        <v>25</v>
      </c>
      <c r="F23" s="7" t="str">
        <f t="shared" si="6"/>
        <v>Stem Bolts: 25mm -----</v>
      </c>
      <c r="G23" s="7">
        <v>35</v>
      </c>
      <c r="H23" s="7">
        <v>30</v>
      </c>
      <c r="I23" s="7" t="str">
        <f t="shared" si="11"/>
        <v xml:space="preserve">Aerobar Bolts: Top 35mm; Bottom 30mm </v>
      </c>
      <c r="S23" s="7" t="s">
        <v>5</v>
      </c>
      <c r="T23" s="7">
        <f>T17+$W$3</f>
        <v>420</v>
      </c>
      <c r="U23" s="7">
        <f t="shared" ref="U23:V23" si="15">U17+$W$3</f>
        <v>465</v>
      </c>
      <c r="V23" s="7">
        <f t="shared" si="15"/>
        <v>465</v>
      </c>
    </row>
    <row r="24" spans="2:22" x14ac:dyDescent="0.25">
      <c r="B24" s="7" t="str">
        <f>TEXT($B$11,0) &amp; "+ 40 + bridge + 10"</f>
        <v>Stem: Integrated ----- Aerobar:+ 40 + bridge + 10</v>
      </c>
      <c r="C24" s="7">
        <f t="shared" si="7"/>
        <v>45</v>
      </c>
      <c r="D24" s="7">
        <f>$D$12+50</f>
        <v>128</v>
      </c>
      <c r="E24" s="7">
        <v>25</v>
      </c>
      <c r="F24" s="7" t="str">
        <f t="shared" si="6"/>
        <v>Stem Bolts: 25mm -----</v>
      </c>
      <c r="G24" s="7">
        <v>40</v>
      </c>
      <c r="H24" s="7">
        <v>30</v>
      </c>
      <c r="I24" s="7" t="str">
        <f t="shared" si="11"/>
        <v xml:space="preserve">Aerobar Bolts: Top 40mm; Bottom 30mm </v>
      </c>
      <c r="S24" s="7" t="s">
        <v>6</v>
      </c>
      <c r="T24" s="7">
        <f t="shared" ref="T24:V24" si="16">T18+$W$3</f>
        <v>440</v>
      </c>
      <c r="U24" s="7">
        <f t="shared" si="16"/>
        <v>485</v>
      </c>
      <c r="V24" s="7">
        <f t="shared" si="16"/>
        <v>485</v>
      </c>
    </row>
    <row r="25" spans="2:22" x14ac:dyDescent="0.25">
      <c r="B25" s="7" t="str">
        <f>TEXT($B$11,0) &amp; "+ 40 + bridge + 10 + 5"</f>
        <v>Stem: Integrated ----- Aerobar:+ 40 + bridge + 10 + 5</v>
      </c>
      <c r="C25" s="7">
        <f t="shared" si="7"/>
        <v>45</v>
      </c>
      <c r="D25" s="7">
        <f>$D$12+55</f>
        <v>133</v>
      </c>
      <c r="E25" s="7">
        <v>25</v>
      </c>
      <c r="F25" s="7" t="str">
        <f t="shared" si="6"/>
        <v>Stem Bolts: 25mm -----</v>
      </c>
      <c r="G25" s="7">
        <v>45</v>
      </c>
      <c r="H25" s="7">
        <v>30</v>
      </c>
      <c r="I25" s="7" t="str">
        <f t="shared" si="11"/>
        <v xml:space="preserve">Aerobar Bolts: Top 45mm; Bottom 30mm </v>
      </c>
      <c r="L25" s="7" t="s">
        <v>11</v>
      </c>
      <c r="S25" s="7" t="s">
        <v>7</v>
      </c>
      <c r="T25" s="7">
        <f t="shared" ref="T25:V25" si="17">T19+$W$3</f>
        <v>460</v>
      </c>
      <c r="U25" s="7">
        <f t="shared" si="17"/>
        <v>505</v>
      </c>
      <c r="V25" s="7">
        <f t="shared" si="17"/>
        <v>505</v>
      </c>
    </row>
    <row r="26" spans="2:22" x14ac:dyDescent="0.25">
      <c r="B26" s="7" t="s">
        <v>95</v>
      </c>
      <c r="E26" s="7">
        <v>40</v>
      </c>
      <c r="F26" s="7" t="str">
        <f t="shared" si="6"/>
        <v>Stem Bolts: 40mm -----</v>
      </c>
      <c r="G26" s="7" t="str">
        <f>G11</f>
        <v>N/A</v>
      </c>
      <c r="H26" s="7" t="str">
        <f>H11</f>
        <v>N/A</v>
      </c>
      <c r="I26" s="7" t="str">
        <f t="shared" si="11"/>
        <v xml:space="preserve">Aerobar Bolts: Top N/A; Bottom N/A </v>
      </c>
      <c r="S26" s="9" t="s">
        <v>74</v>
      </c>
    </row>
    <row r="27" spans="2:22" x14ac:dyDescent="0.25">
      <c r="B27" s="7" t="str">
        <f>TEXT($B$26,0) &amp; "+ 5"</f>
        <v>Stem: Integrated w/15 ----- Aerobar: + 5</v>
      </c>
      <c r="C27" s="7">
        <v>45</v>
      </c>
      <c r="D27" s="7">
        <v>93</v>
      </c>
      <c r="E27" s="7">
        <v>40</v>
      </c>
      <c r="F27" s="7" t="str">
        <f t="shared" si="6"/>
        <v>Stem Bolts: 40mm -----</v>
      </c>
      <c r="G27" s="7">
        <f t="shared" ref="G27:H27" si="18">G12</f>
        <v>45</v>
      </c>
      <c r="H27" s="7" t="str">
        <f t="shared" si="18"/>
        <v>N/A</v>
      </c>
      <c r="I27" s="7" t="str">
        <f t="shared" si="11"/>
        <v xml:space="preserve">Aerobar Bolts: Top 45mm; Bottom N/A </v>
      </c>
      <c r="S27" s="7" t="s">
        <v>3</v>
      </c>
      <c r="T27" s="7">
        <f>T15+$W$4</f>
        <v>475</v>
      </c>
      <c r="U27" s="7">
        <f>U15+$W$4</f>
        <v>520</v>
      </c>
      <c r="V27" s="7">
        <f>V15+$W$4</f>
        <v>520</v>
      </c>
    </row>
    <row r="28" spans="2:22" x14ac:dyDescent="0.25">
      <c r="B28" s="7" t="str">
        <f>TEXT($B$26,0) &amp; "+ 10"</f>
        <v>Stem: Integrated w/15 ----- Aerobar: + 10</v>
      </c>
      <c r="C28" s="7">
        <f>$C$12</f>
        <v>45</v>
      </c>
      <c r="D28" s="7">
        <f>$D$27+5</f>
        <v>98</v>
      </c>
      <c r="E28" s="7">
        <v>40</v>
      </c>
      <c r="F28" s="7" t="str">
        <f t="shared" si="6"/>
        <v>Stem Bolts: 40mm -----</v>
      </c>
      <c r="G28" s="7">
        <f t="shared" ref="G28:H28" si="19">G13</f>
        <v>50</v>
      </c>
      <c r="H28" s="7" t="str">
        <f t="shared" si="19"/>
        <v>N/A</v>
      </c>
      <c r="I28" s="7" t="str">
        <f t="shared" si="11"/>
        <v xml:space="preserve">Aerobar Bolts: Top 50mm; Bottom N/A </v>
      </c>
      <c r="S28" s="7" t="s">
        <v>4</v>
      </c>
      <c r="T28" s="7">
        <f t="shared" ref="T28:V28" si="20">T16+$W$4</f>
        <v>485</v>
      </c>
      <c r="U28" s="7">
        <f t="shared" si="20"/>
        <v>530</v>
      </c>
      <c r="V28" s="7">
        <f t="shared" si="20"/>
        <v>525</v>
      </c>
    </row>
    <row r="29" spans="2:22" x14ac:dyDescent="0.25">
      <c r="B29" s="7" t="str">
        <f>TEXT($B$26,0) &amp; "+ 5 + 10"</f>
        <v>Stem: Integrated w/15 ----- Aerobar: + 5 + 10</v>
      </c>
      <c r="C29" s="7">
        <f t="shared" ref="C29:C40" si="21">$C$12</f>
        <v>45</v>
      </c>
      <c r="D29" s="7">
        <f>$D$27+10</f>
        <v>103</v>
      </c>
      <c r="E29" s="7">
        <v>40</v>
      </c>
      <c r="F29" s="7" t="str">
        <f t="shared" si="6"/>
        <v>Stem Bolts: 40mm -----</v>
      </c>
      <c r="G29" s="7">
        <f t="shared" ref="G29:H29" si="22">G14</f>
        <v>55</v>
      </c>
      <c r="H29" s="7" t="str">
        <f t="shared" si="22"/>
        <v>N/A</v>
      </c>
      <c r="I29" s="7" t="str">
        <f t="shared" si="11"/>
        <v xml:space="preserve">Aerobar Bolts: Top 55mm; Bottom N/A </v>
      </c>
      <c r="S29" s="7" t="s">
        <v>5</v>
      </c>
      <c r="T29" s="7">
        <f t="shared" ref="T29:V29" si="23">T17+$W$4</f>
        <v>500</v>
      </c>
      <c r="U29" s="7">
        <f t="shared" si="23"/>
        <v>545</v>
      </c>
      <c r="V29" s="7">
        <f t="shared" si="23"/>
        <v>545</v>
      </c>
    </row>
    <row r="30" spans="2:22" x14ac:dyDescent="0.25">
      <c r="B30" s="7" t="str">
        <f>TEXT($B$26,0) &amp; "+ 20"</f>
        <v>Stem: Integrated w/15 ----- Aerobar: + 20</v>
      </c>
      <c r="C30" s="7">
        <f t="shared" si="21"/>
        <v>45</v>
      </c>
      <c r="D30" s="7">
        <f>$D$27+15</f>
        <v>108</v>
      </c>
      <c r="E30" s="7">
        <v>40</v>
      </c>
      <c r="F30" s="7" t="str">
        <f t="shared" si="6"/>
        <v>Stem Bolts: 40mm -----</v>
      </c>
      <c r="G30" s="7">
        <f t="shared" ref="G30:H30" si="24">G15</f>
        <v>20</v>
      </c>
      <c r="H30" s="7">
        <f t="shared" si="24"/>
        <v>30</v>
      </c>
      <c r="I30" s="7" t="str">
        <f t="shared" si="11"/>
        <v xml:space="preserve">Aerobar Bolts: Top 20mm; Bottom 30mm </v>
      </c>
      <c r="S30" s="7" t="s">
        <v>6</v>
      </c>
      <c r="T30" s="7">
        <f t="shared" ref="T30:V30" si="25">T18+$W$4</f>
        <v>520</v>
      </c>
      <c r="U30" s="7">
        <f t="shared" si="25"/>
        <v>565</v>
      </c>
      <c r="V30" s="7">
        <f t="shared" si="25"/>
        <v>565</v>
      </c>
    </row>
    <row r="31" spans="2:22" x14ac:dyDescent="0.25">
      <c r="B31" s="7" t="str">
        <f>TEXT($B$26,0) &amp; "+ 20 + 5"</f>
        <v>Stem: Integrated w/15 ----- Aerobar: + 20 + 5</v>
      </c>
      <c r="C31" s="7">
        <f t="shared" si="21"/>
        <v>45</v>
      </c>
      <c r="D31" s="7">
        <f>$D$27+20</f>
        <v>113</v>
      </c>
      <c r="E31" s="7">
        <v>40</v>
      </c>
      <c r="F31" s="7" t="str">
        <f t="shared" si="6"/>
        <v>Stem Bolts: 40mm -----</v>
      </c>
      <c r="G31" s="7">
        <f t="shared" ref="G31:H31" si="26">G16</f>
        <v>25</v>
      </c>
      <c r="H31" s="7">
        <f t="shared" si="26"/>
        <v>30</v>
      </c>
      <c r="I31" s="7" t="str">
        <f t="shared" si="11"/>
        <v xml:space="preserve">Aerobar Bolts: Top 25mm; Bottom 30mm </v>
      </c>
      <c r="S31" s="7" t="s">
        <v>7</v>
      </c>
      <c r="T31" s="7">
        <f t="shared" ref="T31:V31" si="27">T19+$W$4</f>
        <v>540</v>
      </c>
      <c r="U31" s="7">
        <f t="shared" si="27"/>
        <v>585</v>
      </c>
      <c r="V31" s="7">
        <f t="shared" si="27"/>
        <v>585</v>
      </c>
    </row>
    <row r="32" spans="2:22" x14ac:dyDescent="0.25">
      <c r="B32" s="7" t="str">
        <f>TEXT($B$26,0) &amp; "+ 20 + bridge"</f>
        <v>Stem: Integrated w/15 ----- Aerobar: + 20 + bridge</v>
      </c>
      <c r="C32" s="7">
        <f t="shared" si="21"/>
        <v>45</v>
      </c>
      <c r="D32" s="7">
        <f>$D$27+20</f>
        <v>113</v>
      </c>
      <c r="E32" s="7">
        <v>40</v>
      </c>
      <c r="F32" s="7" t="str">
        <f t="shared" si="6"/>
        <v>Stem Bolts: 40mm -----</v>
      </c>
      <c r="G32" s="7">
        <f t="shared" ref="G32:H32" si="28">G17</f>
        <v>25</v>
      </c>
      <c r="H32" s="7">
        <f t="shared" si="28"/>
        <v>30</v>
      </c>
      <c r="I32" s="7" t="str">
        <f t="shared" si="11"/>
        <v xml:space="preserve">Aerobar Bolts: Top 25mm; Bottom 30mm </v>
      </c>
    </row>
    <row r="33" spans="2:9" x14ac:dyDescent="0.25">
      <c r="B33" s="7" t="str">
        <f>TEXT($B$26,0) &amp; "+ 30"</f>
        <v>Stem: Integrated w/15 ----- Aerobar: + 30</v>
      </c>
      <c r="C33" s="7">
        <f t="shared" si="21"/>
        <v>45</v>
      </c>
      <c r="D33" s="7">
        <f>$D$27+25</f>
        <v>118</v>
      </c>
      <c r="E33" s="7">
        <v>40</v>
      </c>
      <c r="F33" s="7" t="str">
        <f t="shared" si="6"/>
        <v>Stem Bolts: 40mm -----</v>
      </c>
      <c r="G33" s="7">
        <f t="shared" ref="G33:H33" si="29">G18</f>
        <v>25</v>
      </c>
      <c r="H33" s="7">
        <f t="shared" si="29"/>
        <v>30</v>
      </c>
      <c r="I33" s="7" t="str">
        <f t="shared" si="11"/>
        <v xml:space="preserve">Aerobar Bolts: Top 25mm; Bottom 30mm </v>
      </c>
    </row>
    <row r="34" spans="2:9" x14ac:dyDescent="0.25">
      <c r="B34" s="7" t="str">
        <f>TEXT($B$26,0) &amp; "+ 20 + bridge + 5"</f>
        <v>Stem: Integrated w/15 ----- Aerobar: + 20 + bridge + 5</v>
      </c>
      <c r="C34" s="7">
        <f t="shared" si="21"/>
        <v>45</v>
      </c>
      <c r="D34" s="7">
        <f>$D$27+25</f>
        <v>118</v>
      </c>
      <c r="E34" s="7">
        <v>40</v>
      </c>
      <c r="F34" s="7" t="str">
        <f t="shared" si="6"/>
        <v>Stem Bolts: 40mm -----</v>
      </c>
      <c r="G34" s="7">
        <f t="shared" ref="G34:H34" si="30">G19</f>
        <v>30</v>
      </c>
      <c r="H34" s="7">
        <f t="shared" si="30"/>
        <v>30</v>
      </c>
      <c r="I34" s="7" t="str">
        <f t="shared" si="11"/>
        <v xml:space="preserve">Aerobar Bolts: Top 30mm; Bottom 30mm </v>
      </c>
    </row>
    <row r="35" spans="2:9" x14ac:dyDescent="0.25">
      <c r="B35" s="7" t="str">
        <f>TEXT($B$26,0) &amp; "+ 30 + bridge"</f>
        <v>Stem: Integrated w/15 ----- Aerobar: + 30 + bridge</v>
      </c>
      <c r="C35" s="7">
        <f t="shared" si="21"/>
        <v>45</v>
      </c>
      <c r="D35" s="7">
        <f>$D$27+30</f>
        <v>123</v>
      </c>
      <c r="E35" s="7">
        <v>40</v>
      </c>
      <c r="F35" s="7" t="str">
        <f t="shared" si="6"/>
        <v>Stem Bolts: 40mm -----</v>
      </c>
      <c r="G35" s="7">
        <f t="shared" ref="G35:H35" si="31">G20</f>
        <v>30</v>
      </c>
      <c r="H35" s="7">
        <f t="shared" si="31"/>
        <v>30</v>
      </c>
      <c r="I35" s="7" t="str">
        <f t="shared" si="11"/>
        <v xml:space="preserve">Aerobar Bolts: Top 30mm; Bottom 30mm </v>
      </c>
    </row>
    <row r="36" spans="2:9" x14ac:dyDescent="0.25">
      <c r="B36" s="7" t="str">
        <f>TEXT($B$26,0) &amp; "+ 30 + bridge + 5"</f>
        <v>Stem: Integrated w/15 ----- Aerobar: + 30 + bridge + 5</v>
      </c>
      <c r="C36" s="7">
        <f t="shared" si="21"/>
        <v>45</v>
      </c>
      <c r="D36" s="7">
        <f>$D$27+35</f>
        <v>128</v>
      </c>
      <c r="E36" s="7">
        <v>40</v>
      </c>
      <c r="F36" s="7" t="str">
        <f t="shared" si="6"/>
        <v>Stem Bolts: 40mm -----</v>
      </c>
      <c r="G36" s="7">
        <f t="shared" ref="G36:H36" si="32">G21</f>
        <v>35</v>
      </c>
      <c r="H36" s="7">
        <f t="shared" si="32"/>
        <v>30</v>
      </c>
      <c r="I36" s="7" t="str">
        <f t="shared" si="11"/>
        <v xml:space="preserve">Aerobar Bolts: Top 35mm; Bottom 30mm </v>
      </c>
    </row>
    <row r="37" spans="2:9" x14ac:dyDescent="0.25">
      <c r="B37" s="7" t="str">
        <f>TEXT($B$26,0) &amp; "+ 40 + bridge"</f>
        <v>Stem: Integrated w/15 ----- Aerobar: + 40 + bridge</v>
      </c>
      <c r="C37" s="7">
        <f t="shared" si="21"/>
        <v>45</v>
      </c>
      <c r="D37" s="7">
        <f>$D$27+40</f>
        <v>133</v>
      </c>
      <c r="E37" s="7">
        <v>40</v>
      </c>
      <c r="F37" s="7" t="str">
        <f t="shared" si="6"/>
        <v>Stem Bolts: 40mm -----</v>
      </c>
      <c r="G37" s="7">
        <f t="shared" ref="G37:H37" si="33">G22</f>
        <v>35</v>
      </c>
      <c r="H37" s="7">
        <f t="shared" si="33"/>
        <v>30</v>
      </c>
      <c r="I37" s="7" t="str">
        <f t="shared" si="11"/>
        <v xml:space="preserve">Aerobar Bolts: Top 35mm; Bottom 30mm </v>
      </c>
    </row>
    <row r="38" spans="2:9" x14ac:dyDescent="0.25">
      <c r="B38" s="7" t="str">
        <f>TEXT($B$26,0) &amp; "+ 40 + bridge + 5"</f>
        <v>Stem: Integrated w/15 ----- Aerobar: + 40 + bridge + 5</v>
      </c>
      <c r="C38" s="7">
        <f t="shared" si="21"/>
        <v>45</v>
      </c>
      <c r="D38" s="7">
        <f>$D$27+45</f>
        <v>138</v>
      </c>
      <c r="E38" s="7">
        <v>40</v>
      </c>
      <c r="F38" s="7" t="str">
        <f t="shared" si="6"/>
        <v>Stem Bolts: 40mm -----</v>
      </c>
      <c r="G38" s="7">
        <f t="shared" ref="G38:H38" si="34">G23</f>
        <v>35</v>
      </c>
      <c r="H38" s="7">
        <f t="shared" si="34"/>
        <v>30</v>
      </c>
      <c r="I38" s="7" t="str">
        <f t="shared" si="11"/>
        <v xml:space="preserve">Aerobar Bolts: Top 35mm; Bottom 30mm </v>
      </c>
    </row>
    <row r="39" spans="2:9" x14ac:dyDescent="0.25">
      <c r="B39" s="7" t="str">
        <f>TEXT($B$26,0) &amp; "+ 40 + bridge + 10"</f>
        <v>Stem: Integrated w/15 ----- Aerobar: + 40 + bridge + 10</v>
      </c>
      <c r="C39" s="7">
        <f t="shared" si="21"/>
        <v>45</v>
      </c>
      <c r="D39" s="7">
        <f>$D$27+50</f>
        <v>143</v>
      </c>
      <c r="E39" s="7">
        <v>40</v>
      </c>
      <c r="F39" s="7" t="str">
        <f t="shared" si="6"/>
        <v>Stem Bolts: 40mm -----</v>
      </c>
      <c r="G39" s="7">
        <f t="shared" ref="G39:H39" si="35">G24</f>
        <v>40</v>
      </c>
      <c r="H39" s="7">
        <f t="shared" si="35"/>
        <v>30</v>
      </c>
      <c r="I39" s="7" t="str">
        <f t="shared" si="11"/>
        <v xml:space="preserve">Aerobar Bolts: Top 40mm; Bottom 30mm </v>
      </c>
    </row>
    <row r="40" spans="2:9" x14ac:dyDescent="0.25">
      <c r="B40" s="7" t="str">
        <f>TEXT($B$26,0) &amp; "+ 40 + bridge + 10 + 5"</f>
        <v>Stem: Integrated w/15 ----- Aerobar: + 40 + bridge + 10 + 5</v>
      </c>
      <c r="C40" s="7">
        <f t="shared" si="21"/>
        <v>45</v>
      </c>
      <c r="D40" s="7">
        <f>$D$27+55</f>
        <v>148</v>
      </c>
      <c r="E40" s="7">
        <v>40</v>
      </c>
      <c r="F40" s="7" t="str">
        <f t="shared" si="6"/>
        <v>Stem Bolts: 40mm -----</v>
      </c>
      <c r="G40" s="7">
        <f t="shared" ref="G40:H40" si="36">G25</f>
        <v>45</v>
      </c>
      <c r="H40" s="7">
        <f t="shared" si="36"/>
        <v>30</v>
      </c>
      <c r="I40" s="7" t="str">
        <f t="shared" si="11"/>
        <v xml:space="preserve">Aerobar Bolts: Top 45mm; Bottom 30mm </v>
      </c>
    </row>
    <row r="41" spans="2:9" x14ac:dyDescent="0.25">
      <c r="B41" s="7" t="s">
        <v>92</v>
      </c>
      <c r="E41" s="7">
        <v>55</v>
      </c>
      <c r="F41" s="7" t="str">
        <f t="shared" si="6"/>
        <v>Stem Bolts: 55mm -----</v>
      </c>
      <c r="G41" s="7" t="str">
        <f>G26</f>
        <v>N/A</v>
      </c>
      <c r="H41" s="7" t="str">
        <f>H26</f>
        <v>N/A</v>
      </c>
      <c r="I41" s="7" t="str">
        <f t="shared" si="11"/>
        <v xml:space="preserve">Aerobar Bolts: Top N/A; Bottom N/A </v>
      </c>
    </row>
    <row r="42" spans="2:9" x14ac:dyDescent="0.25">
      <c r="B42" s="7" t="str">
        <f>TEXT($B$41,0) &amp; "+ 5"</f>
        <v>Stem: Integrated w/30 ----- Aerobar: + 5</v>
      </c>
      <c r="C42" s="7">
        <v>45</v>
      </c>
      <c r="D42" s="7">
        <v>108</v>
      </c>
      <c r="E42" s="7">
        <v>55</v>
      </c>
      <c r="F42" s="7" t="str">
        <f t="shared" si="6"/>
        <v>Stem Bolts: 55mm -----</v>
      </c>
      <c r="G42" s="7">
        <f t="shared" ref="G42:H42" si="37">G27</f>
        <v>45</v>
      </c>
      <c r="H42" s="7" t="str">
        <f t="shared" si="37"/>
        <v>N/A</v>
      </c>
      <c r="I42" s="7" t="str">
        <f t="shared" si="11"/>
        <v xml:space="preserve">Aerobar Bolts: Top 45mm; Bottom N/A </v>
      </c>
    </row>
    <row r="43" spans="2:9" x14ac:dyDescent="0.25">
      <c r="B43" s="7" t="str">
        <f>TEXT($B$41,0) &amp; "+ 10"</f>
        <v>Stem: Integrated w/30 ----- Aerobar: + 10</v>
      </c>
      <c r="C43" s="7">
        <f>$C$12</f>
        <v>45</v>
      </c>
      <c r="D43" s="7">
        <f>$D$42+5</f>
        <v>113</v>
      </c>
      <c r="E43" s="7">
        <v>55</v>
      </c>
      <c r="F43" s="7" t="str">
        <f t="shared" si="6"/>
        <v>Stem Bolts: 55mm -----</v>
      </c>
      <c r="G43" s="7">
        <f t="shared" ref="G43:H43" si="38">G28</f>
        <v>50</v>
      </c>
      <c r="H43" s="7" t="str">
        <f t="shared" si="38"/>
        <v>N/A</v>
      </c>
      <c r="I43" s="7" t="str">
        <f t="shared" si="11"/>
        <v xml:space="preserve">Aerobar Bolts: Top 50mm; Bottom N/A </v>
      </c>
    </row>
    <row r="44" spans="2:9" x14ac:dyDescent="0.25">
      <c r="B44" s="7" t="str">
        <f>TEXT($B$41,0) &amp; "+ 5 + 10"</f>
        <v>Stem: Integrated w/30 ----- Aerobar: + 5 + 10</v>
      </c>
      <c r="C44" s="7">
        <f t="shared" ref="C44:C55" si="39">$C$12</f>
        <v>45</v>
      </c>
      <c r="D44" s="7">
        <f>$D$42+10</f>
        <v>118</v>
      </c>
      <c r="E44" s="7">
        <v>55</v>
      </c>
      <c r="F44" s="7" t="str">
        <f t="shared" si="6"/>
        <v>Stem Bolts: 55mm -----</v>
      </c>
      <c r="G44" s="7">
        <f t="shared" ref="G44:H44" si="40">G29</f>
        <v>55</v>
      </c>
      <c r="H44" s="7" t="str">
        <f t="shared" si="40"/>
        <v>N/A</v>
      </c>
      <c r="I44" s="7" t="str">
        <f t="shared" si="11"/>
        <v xml:space="preserve">Aerobar Bolts: Top 55mm; Bottom N/A </v>
      </c>
    </row>
    <row r="45" spans="2:9" x14ac:dyDescent="0.25">
      <c r="B45" s="7" t="str">
        <f>TEXT($B$41,0) &amp; "+ 20"</f>
        <v>Stem: Integrated w/30 ----- Aerobar: + 20</v>
      </c>
      <c r="C45" s="7">
        <f t="shared" si="39"/>
        <v>45</v>
      </c>
      <c r="D45" s="7">
        <f>$D$42+15</f>
        <v>123</v>
      </c>
      <c r="E45" s="7">
        <v>55</v>
      </c>
      <c r="F45" s="7" t="str">
        <f t="shared" si="6"/>
        <v>Stem Bolts: 55mm -----</v>
      </c>
      <c r="G45" s="7">
        <f t="shared" ref="G45:H45" si="41">G30</f>
        <v>20</v>
      </c>
      <c r="H45" s="7">
        <f t="shared" si="41"/>
        <v>30</v>
      </c>
      <c r="I45" s="7" t="str">
        <f t="shared" si="11"/>
        <v xml:space="preserve">Aerobar Bolts: Top 20mm; Bottom 30mm </v>
      </c>
    </row>
    <row r="46" spans="2:9" x14ac:dyDescent="0.25">
      <c r="B46" s="7" t="str">
        <f>TEXT($B$41,0) &amp; "+ 20 + 5"</f>
        <v>Stem: Integrated w/30 ----- Aerobar: + 20 + 5</v>
      </c>
      <c r="C46" s="7">
        <f t="shared" si="39"/>
        <v>45</v>
      </c>
      <c r="D46" s="7">
        <f>$D$42+20</f>
        <v>128</v>
      </c>
      <c r="E46" s="7">
        <v>55</v>
      </c>
      <c r="F46" s="7" t="str">
        <f t="shared" si="6"/>
        <v>Stem Bolts: 55mm -----</v>
      </c>
      <c r="G46" s="7">
        <f t="shared" ref="G46:H46" si="42">G31</f>
        <v>25</v>
      </c>
      <c r="H46" s="7">
        <f t="shared" si="42"/>
        <v>30</v>
      </c>
      <c r="I46" s="7" t="str">
        <f t="shared" si="11"/>
        <v xml:space="preserve">Aerobar Bolts: Top 25mm; Bottom 30mm </v>
      </c>
    </row>
    <row r="47" spans="2:9" x14ac:dyDescent="0.25">
      <c r="B47" s="7" t="str">
        <f>TEXT($B$41,0) &amp; "+ 20 + bridge"</f>
        <v>Stem: Integrated w/30 ----- Aerobar: + 20 + bridge</v>
      </c>
      <c r="C47" s="7">
        <f t="shared" si="39"/>
        <v>45</v>
      </c>
      <c r="D47" s="7">
        <f>$D$42+20</f>
        <v>128</v>
      </c>
      <c r="E47" s="7">
        <v>55</v>
      </c>
      <c r="F47" s="7" t="str">
        <f t="shared" si="6"/>
        <v>Stem Bolts: 55mm -----</v>
      </c>
      <c r="G47" s="7">
        <f t="shared" ref="G47:H47" si="43">G32</f>
        <v>25</v>
      </c>
      <c r="H47" s="7">
        <f t="shared" si="43"/>
        <v>30</v>
      </c>
      <c r="I47" s="7" t="str">
        <f t="shared" si="11"/>
        <v xml:space="preserve">Aerobar Bolts: Top 25mm; Bottom 30mm </v>
      </c>
    </row>
    <row r="48" spans="2:9" x14ac:dyDescent="0.25">
      <c r="B48" s="7" t="str">
        <f>TEXT($B$41,0) &amp; "+ 30"</f>
        <v>Stem: Integrated w/30 ----- Aerobar: + 30</v>
      </c>
      <c r="C48" s="7">
        <f t="shared" si="39"/>
        <v>45</v>
      </c>
      <c r="D48" s="7">
        <f>$D$42+25</f>
        <v>133</v>
      </c>
      <c r="E48" s="7">
        <v>55</v>
      </c>
      <c r="F48" s="7" t="str">
        <f t="shared" si="6"/>
        <v>Stem Bolts: 55mm -----</v>
      </c>
      <c r="G48" s="7">
        <f t="shared" ref="G48:H48" si="44">G33</f>
        <v>25</v>
      </c>
      <c r="H48" s="7">
        <f t="shared" si="44"/>
        <v>30</v>
      </c>
      <c r="I48" s="7" t="str">
        <f t="shared" si="11"/>
        <v xml:space="preserve">Aerobar Bolts: Top 25mm; Bottom 30mm </v>
      </c>
    </row>
    <row r="49" spans="2:9" x14ac:dyDescent="0.25">
      <c r="B49" s="7" t="str">
        <f>TEXT($B$41,0) &amp; "+ 20 + bridge + 5"</f>
        <v>Stem: Integrated w/30 ----- Aerobar: + 20 + bridge + 5</v>
      </c>
      <c r="C49" s="7">
        <f t="shared" si="39"/>
        <v>45</v>
      </c>
      <c r="D49" s="7">
        <f>$D$42+25</f>
        <v>133</v>
      </c>
      <c r="E49" s="7">
        <v>55</v>
      </c>
      <c r="F49" s="7" t="str">
        <f t="shared" si="6"/>
        <v>Stem Bolts: 55mm -----</v>
      </c>
      <c r="G49" s="7">
        <f t="shared" ref="G49:H49" si="45">G34</f>
        <v>30</v>
      </c>
      <c r="H49" s="7">
        <f t="shared" si="45"/>
        <v>30</v>
      </c>
      <c r="I49" s="7" t="str">
        <f t="shared" si="11"/>
        <v xml:space="preserve">Aerobar Bolts: Top 30mm; Bottom 30mm </v>
      </c>
    </row>
    <row r="50" spans="2:9" x14ac:dyDescent="0.25">
      <c r="B50" s="7" t="str">
        <f>TEXT($B$41,0) &amp; "+ 30 + bridge"</f>
        <v>Stem: Integrated w/30 ----- Aerobar: + 30 + bridge</v>
      </c>
      <c r="C50" s="7">
        <f t="shared" si="39"/>
        <v>45</v>
      </c>
      <c r="D50" s="7">
        <f>$D$42+30</f>
        <v>138</v>
      </c>
      <c r="E50" s="7">
        <v>55</v>
      </c>
      <c r="F50" s="7" t="str">
        <f t="shared" si="6"/>
        <v>Stem Bolts: 55mm -----</v>
      </c>
      <c r="G50" s="7">
        <f t="shared" ref="G50:H50" si="46">G35</f>
        <v>30</v>
      </c>
      <c r="H50" s="7">
        <f t="shared" si="46"/>
        <v>30</v>
      </c>
      <c r="I50" s="7" t="str">
        <f t="shared" si="11"/>
        <v xml:space="preserve">Aerobar Bolts: Top 30mm; Bottom 30mm </v>
      </c>
    </row>
    <row r="51" spans="2:9" x14ac:dyDescent="0.25">
      <c r="B51" s="7" t="str">
        <f>TEXT($B$41,0) &amp; "+ 30 + bridge + 5"</f>
        <v>Stem: Integrated w/30 ----- Aerobar: + 30 + bridge + 5</v>
      </c>
      <c r="C51" s="7">
        <f t="shared" si="39"/>
        <v>45</v>
      </c>
      <c r="D51" s="7">
        <f>$D$42+35</f>
        <v>143</v>
      </c>
      <c r="E51" s="7">
        <v>55</v>
      </c>
      <c r="F51" s="7" t="str">
        <f t="shared" si="6"/>
        <v>Stem Bolts: 55mm -----</v>
      </c>
      <c r="G51" s="7">
        <f t="shared" ref="G51:H51" si="47">G36</f>
        <v>35</v>
      </c>
      <c r="H51" s="7">
        <f t="shared" si="47"/>
        <v>30</v>
      </c>
      <c r="I51" s="7" t="str">
        <f t="shared" si="11"/>
        <v xml:space="preserve">Aerobar Bolts: Top 35mm; Bottom 30mm </v>
      </c>
    </row>
    <row r="52" spans="2:9" x14ac:dyDescent="0.25">
      <c r="B52" s="7" t="str">
        <f>TEXT($B$41,0) &amp; "+ 40 + bridge"</f>
        <v>Stem: Integrated w/30 ----- Aerobar: + 40 + bridge</v>
      </c>
      <c r="C52" s="7">
        <f t="shared" si="39"/>
        <v>45</v>
      </c>
      <c r="D52" s="7">
        <f>$D$42+40</f>
        <v>148</v>
      </c>
      <c r="E52" s="7">
        <v>55</v>
      </c>
      <c r="F52" s="7" t="str">
        <f t="shared" si="6"/>
        <v>Stem Bolts: 55mm -----</v>
      </c>
      <c r="G52" s="7">
        <f t="shared" ref="G52:H52" si="48">G37</f>
        <v>35</v>
      </c>
      <c r="H52" s="7">
        <f t="shared" si="48"/>
        <v>30</v>
      </c>
      <c r="I52" s="7" t="str">
        <f t="shared" si="11"/>
        <v xml:space="preserve">Aerobar Bolts: Top 35mm; Bottom 30mm </v>
      </c>
    </row>
    <row r="53" spans="2:9" x14ac:dyDescent="0.25">
      <c r="B53" s="7" t="str">
        <f>TEXT($B$41,0) &amp; "+ 40 + bridge + 5"</f>
        <v>Stem: Integrated w/30 ----- Aerobar: + 40 + bridge + 5</v>
      </c>
      <c r="C53" s="7">
        <f t="shared" si="39"/>
        <v>45</v>
      </c>
      <c r="D53" s="7">
        <f>$D$42+45</f>
        <v>153</v>
      </c>
      <c r="E53" s="7">
        <v>55</v>
      </c>
      <c r="F53" s="7" t="str">
        <f t="shared" si="6"/>
        <v>Stem Bolts: 55mm -----</v>
      </c>
      <c r="G53" s="7">
        <f t="shared" ref="G53:H53" si="49">G38</f>
        <v>35</v>
      </c>
      <c r="H53" s="7">
        <f t="shared" si="49"/>
        <v>30</v>
      </c>
      <c r="I53" s="7" t="str">
        <f t="shared" si="11"/>
        <v xml:space="preserve">Aerobar Bolts: Top 35mm; Bottom 30mm </v>
      </c>
    </row>
    <row r="54" spans="2:9" x14ac:dyDescent="0.25">
      <c r="B54" s="7" t="str">
        <f>TEXT($B$41,0) &amp; "+ 40 + bridge + 10"</f>
        <v>Stem: Integrated w/30 ----- Aerobar: + 40 + bridge + 10</v>
      </c>
      <c r="C54" s="7">
        <f t="shared" si="39"/>
        <v>45</v>
      </c>
      <c r="D54" s="7">
        <f>$D$42+50</f>
        <v>158</v>
      </c>
      <c r="E54" s="7">
        <v>55</v>
      </c>
      <c r="F54" s="7" t="str">
        <f t="shared" si="6"/>
        <v>Stem Bolts: 55mm -----</v>
      </c>
      <c r="G54" s="7">
        <f t="shared" ref="G54:H54" si="50">G39</f>
        <v>40</v>
      </c>
      <c r="H54" s="7">
        <f t="shared" si="50"/>
        <v>30</v>
      </c>
      <c r="I54" s="7" t="str">
        <f t="shared" si="11"/>
        <v xml:space="preserve">Aerobar Bolts: Top 40mm; Bottom 30mm </v>
      </c>
    </row>
    <row r="55" spans="2:9" x14ac:dyDescent="0.25">
      <c r="B55" s="7" t="str">
        <f>TEXT($B$41,0) &amp; "+ 40 + bridge + 10 + 5"</f>
        <v>Stem: Integrated w/30 ----- Aerobar: + 40 + bridge + 10 + 5</v>
      </c>
      <c r="C55" s="7">
        <f t="shared" si="39"/>
        <v>45</v>
      </c>
      <c r="D55" s="7">
        <f>$D$42+55</f>
        <v>163</v>
      </c>
      <c r="E55" s="7">
        <v>55</v>
      </c>
      <c r="F55" s="7" t="str">
        <f t="shared" si="6"/>
        <v>Stem Bolts: 55mm -----</v>
      </c>
      <c r="G55" s="7">
        <f t="shared" ref="G55:H55" si="51">G40</f>
        <v>45</v>
      </c>
      <c r="H55" s="7">
        <f t="shared" si="51"/>
        <v>30</v>
      </c>
      <c r="I55" s="7" t="str">
        <f t="shared" si="11"/>
        <v xml:space="preserve">Aerobar Bolts: Top 45mm; Bottom 30mm </v>
      </c>
    </row>
    <row r="56" spans="2:9" x14ac:dyDescent="0.25">
      <c r="B56" s="7" t="s">
        <v>93</v>
      </c>
      <c r="E56" s="7" t="s">
        <v>102</v>
      </c>
      <c r="F56" s="7" t="str">
        <f t="shared" si="6"/>
        <v>Stem Bolts: N/A -----</v>
      </c>
      <c r="G56" s="7" t="str">
        <f>G41</f>
        <v>N/A</v>
      </c>
      <c r="H56" s="7" t="str">
        <f>H41</f>
        <v>N/A</v>
      </c>
      <c r="I56" s="7" t="str">
        <f t="shared" si="11"/>
        <v xml:space="preserve">Aerobar Bolts: Top N/A; Bottom N/A </v>
      </c>
    </row>
    <row r="57" spans="2:9" x14ac:dyDescent="0.25">
      <c r="B57" s="7" t="str">
        <f>TEXT($B$56,0) &amp; "+ 5"</f>
        <v>Stem: 31.8 ----- Carbon Aerobar: + 5</v>
      </c>
      <c r="C57" s="7">
        <v>90</v>
      </c>
      <c r="D57" s="7">
        <v>66</v>
      </c>
      <c r="E57" s="7" t="s">
        <v>102</v>
      </c>
      <c r="F57" s="7" t="str">
        <f t="shared" si="6"/>
        <v>Stem Bolts: N/A -----</v>
      </c>
      <c r="G57" s="7">
        <f t="shared" ref="G57:H57" si="52">G42</f>
        <v>45</v>
      </c>
      <c r="H57" s="7" t="str">
        <f t="shared" si="52"/>
        <v>N/A</v>
      </c>
      <c r="I57" s="7" t="str">
        <f t="shared" si="11"/>
        <v xml:space="preserve">Aerobar Bolts: Top 45mm; Bottom N/A </v>
      </c>
    </row>
    <row r="58" spans="2:9" x14ac:dyDescent="0.25">
      <c r="B58" s="7" t="str">
        <f>TEXT($B$56,0) &amp; "+ 10"</f>
        <v>Stem: 31.8 ----- Carbon Aerobar: + 10</v>
      </c>
      <c r="C58" s="7">
        <f>$C$57</f>
        <v>90</v>
      </c>
      <c r="D58" s="7">
        <f>$D$57+5</f>
        <v>71</v>
      </c>
      <c r="E58" s="7" t="s">
        <v>102</v>
      </c>
      <c r="F58" s="7" t="str">
        <f t="shared" si="6"/>
        <v>Stem Bolts: N/A -----</v>
      </c>
      <c r="G58" s="7">
        <f t="shared" ref="G58:H58" si="53">G43</f>
        <v>50</v>
      </c>
      <c r="H58" s="7" t="str">
        <f t="shared" si="53"/>
        <v>N/A</v>
      </c>
      <c r="I58" s="7" t="str">
        <f t="shared" si="11"/>
        <v xml:space="preserve">Aerobar Bolts: Top 50mm; Bottom N/A </v>
      </c>
    </row>
    <row r="59" spans="2:9" x14ac:dyDescent="0.25">
      <c r="B59" s="7" t="str">
        <f>TEXT($B$56,0) &amp; "+ 5 + 10"</f>
        <v>Stem: 31.8 ----- Carbon Aerobar: + 5 + 10</v>
      </c>
      <c r="C59" s="7">
        <f t="shared" ref="C59:C70" si="54">$C$57</f>
        <v>90</v>
      </c>
      <c r="D59" s="7">
        <f>$D$57+10</f>
        <v>76</v>
      </c>
      <c r="E59" s="7" t="s">
        <v>102</v>
      </c>
      <c r="F59" s="7" t="str">
        <f t="shared" si="6"/>
        <v>Stem Bolts: N/A -----</v>
      </c>
      <c r="G59" s="7">
        <f t="shared" ref="G59:H59" si="55">G44</f>
        <v>55</v>
      </c>
      <c r="H59" s="7" t="str">
        <f t="shared" si="55"/>
        <v>N/A</v>
      </c>
      <c r="I59" s="7" t="str">
        <f t="shared" si="11"/>
        <v xml:space="preserve">Aerobar Bolts: Top 55mm; Bottom N/A </v>
      </c>
    </row>
    <row r="60" spans="2:9" x14ac:dyDescent="0.25">
      <c r="B60" s="7" t="str">
        <f>TEXT($B$56,0) &amp; "+ 20"</f>
        <v>Stem: 31.8 ----- Carbon Aerobar: + 20</v>
      </c>
      <c r="C60" s="7">
        <f t="shared" si="54"/>
        <v>90</v>
      </c>
      <c r="D60" s="7">
        <f>$D$57+15</f>
        <v>81</v>
      </c>
      <c r="E60" s="7" t="s">
        <v>102</v>
      </c>
      <c r="F60" s="7" t="str">
        <f t="shared" si="6"/>
        <v>Stem Bolts: N/A -----</v>
      </c>
      <c r="G60" s="7">
        <f t="shared" ref="G60:H60" si="56">G45</f>
        <v>20</v>
      </c>
      <c r="H60" s="7">
        <f t="shared" si="56"/>
        <v>30</v>
      </c>
      <c r="I60" s="7" t="str">
        <f t="shared" si="11"/>
        <v xml:space="preserve">Aerobar Bolts: Top 20mm; Bottom 30mm </v>
      </c>
    </row>
    <row r="61" spans="2:9" x14ac:dyDescent="0.25">
      <c r="B61" s="7" t="str">
        <f>TEXT($B$56,0) &amp; "+ 20 + 5"</f>
        <v>Stem: 31.8 ----- Carbon Aerobar: + 20 + 5</v>
      </c>
      <c r="C61" s="7">
        <f t="shared" si="54"/>
        <v>90</v>
      </c>
      <c r="D61" s="7">
        <f>$D$57+20</f>
        <v>86</v>
      </c>
      <c r="E61" s="7" t="s">
        <v>102</v>
      </c>
      <c r="F61" s="7" t="str">
        <f t="shared" si="6"/>
        <v>Stem Bolts: N/A -----</v>
      </c>
      <c r="G61" s="7">
        <f t="shared" ref="G61:H61" si="57">G46</f>
        <v>25</v>
      </c>
      <c r="H61" s="7">
        <f t="shared" si="57"/>
        <v>30</v>
      </c>
      <c r="I61" s="7" t="str">
        <f t="shared" si="11"/>
        <v xml:space="preserve">Aerobar Bolts: Top 25mm; Bottom 30mm </v>
      </c>
    </row>
    <row r="62" spans="2:9" x14ac:dyDescent="0.25">
      <c r="B62" s="7" t="str">
        <f>TEXT($B$56,0) &amp; "+ 20 + bridge"</f>
        <v>Stem: 31.8 ----- Carbon Aerobar: + 20 + bridge</v>
      </c>
      <c r="C62" s="7">
        <f t="shared" si="54"/>
        <v>90</v>
      </c>
      <c r="D62" s="7">
        <f>$D$57+20</f>
        <v>86</v>
      </c>
      <c r="E62" s="7" t="s">
        <v>102</v>
      </c>
      <c r="F62" s="7" t="str">
        <f t="shared" si="6"/>
        <v>Stem Bolts: N/A -----</v>
      </c>
      <c r="G62" s="7">
        <f t="shared" ref="G62:H62" si="58">G47</f>
        <v>25</v>
      </c>
      <c r="H62" s="7">
        <f t="shared" si="58"/>
        <v>30</v>
      </c>
      <c r="I62" s="7" t="str">
        <f t="shared" si="11"/>
        <v xml:space="preserve">Aerobar Bolts: Top 25mm; Bottom 30mm </v>
      </c>
    </row>
    <row r="63" spans="2:9" x14ac:dyDescent="0.25">
      <c r="B63" s="7" t="str">
        <f>TEXT($B$56,0) &amp; "+ 30"</f>
        <v>Stem: 31.8 ----- Carbon Aerobar: + 30</v>
      </c>
      <c r="C63" s="7">
        <f t="shared" si="54"/>
        <v>90</v>
      </c>
      <c r="D63" s="7">
        <f>$D$57+25</f>
        <v>91</v>
      </c>
      <c r="E63" s="7" t="s">
        <v>102</v>
      </c>
      <c r="F63" s="7" t="str">
        <f t="shared" si="6"/>
        <v>Stem Bolts: N/A -----</v>
      </c>
      <c r="G63" s="7">
        <f t="shared" ref="G63:H63" si="59">G48</f>
        <v>25</v>
      </c>
      <c r="H63" s="7">
        <f t="shared" si="59"/>
        <v>30</v>
      </c>
      <c r="I63" s="7" t="str">
        <f t="shared" si="11"/>
        <v xml:space="preserve">Aerobar Bolts: Top 25mm; Bottom 30mm </v>
      </c>
    </row>
    <row r="64" spans="2:9" x14ac:dyDescent="0.25">
      <c r="B64" s="7" t="str">
        <f>TEXT($B$56,0) &amp; "+ 20 + bridge + 5"</f>
        <v>Stem: 31.8 ----- Carbon Aerobar: + 20 + bridge + 5</v>
      </c>
      <c r="C64" s="7">
        <f t="shared" si="54"/>
        <v>90</v>
      </c>
      <c r="D64" s="7">
        <f>$D$57+25</f>
        <v>91</v>
      </c>
      <c r="E64" s="7" t="s">
        <v>102</v>
      </c>
      <c r="F64" s="7" t="str">
        <f t="shared" si="6"/>
        <v>Stem Bolts: N/A -----</v>
      </c>
      <c r="G64" s="7">
        <f t="shared" ref="G64:H64" si="60">G49</f>
        <v>30</v>
      </c>
      <c r="H64" s="7">
        <f t="shared" si="60"/>
        <v>30</v>
      </c>
      <c r="I64" s="7" t="str">
        <f t="shared" si="11"/>
        <v xml:space="preserve">Aerobar Bolts: Top 30mm; Bottom 30mm </v>
      </c>
    </row>
    <row r="65" spans="2:9" x14ac:dyDescent="0.25">
      <c r="B65" s="7" t="str">
        <f>TEXT($B$56,0) &amp; "+ 30 + bridge"</f>
        <v>Stem: 31.8 ----- Carbon Aerobar: + 30 + bridge</v>
      </c>
      <c r="C65" s="7">
        <f t="shared" si="54"/>
        <v>90</v>
      </c>
      <c r="D65" s="7">
        <f>$D$57+30</f>
        <v>96</v>
      </c>
      <c r="E65" s="7" t="s">
        <v>102</v>
      </c>
      <c r="F65" s="7" t="str">
        <f t="shared" si="6"/>
        <v>Stem Bolts: N/A -----</v>
      </c>
      <c r="G65" s="7">
        <f t="shared" ref="G65:H65" si="61">G50</f>
        <v>30</v>
      </c>
      <c r="H65" s="7">
        <f t="shared" si="61"/>
        <v>30</v>
      </c>
      <c r="I65" s="7" t="str">
        <f t="shared" si="11"/>
        <v xml:space="preserve">Aerobar Bolts: Top 30mm; Bottom 30mm </v>
      </c>
    </row>
    <row r="66" spans="2:9" x14ac:dyDescent="0.25">
      <c r="B66" s="7" t="str">
        <f>TEXT($B$56,0) &amp; "+ 30 + bridge + 5"</f>
        <v>Stem: 31.8 ----- Carbon Aerobar: + 30 + bridge + 5</v>
      </c>
      <c r="C66" s="7">
        <f t="shared" si="54"/>
        <v>90</v>
      </c>
      <c r="D66" s="7">
        <f>$D$57+35</f>
        <v>101</v>
      </c>
      <c r="E66" s="7" t="s">
        <v>102</v>
      </c>
      <c r="F66" s="7" t="str">
        <f t="shared" si="6"/>
        <v>Stem Bolts: N/A -----</v>
      </c>
      <c r="G66" s="7">
        <f t="shared" ref="G66:H66" si="62">G51</f>
        <v>35</v>
      </c>
      <c r="H66" s="7">
        <f t="shared" si="62"/>
        <v>30</v>
      </c>
      <c r="I66" s="7" t="str">
        <f t="shared" si="11"/>
        <v xml:space="preserve">Aerobar Bolts: Top 35mm; Bottom 30mm </v>
      </c>
    </row>
    <row r="67" spans="2:9" x14ac:dyDescent="0.25">
      <c r="B67" s="7" t="str">
        <f>TEXT($B$56,0) &amp; "+ 40 + bridge"</f>
        <v>Stem: 31.8 ----- Carbon Aerobar: + 40 + bridge</v>
      </c>
      <c r="C67" s="7">
        <f t="shared" si="54"/>
        <v>90</v>
      </c>
      <c r="D67" s="7">
        <f>$D$57+40</f>
        <v>106</v>
      </c>
      <c r="E67" s="7" t="s">
        <v>102</v>
      </c>
      <c r="F67" s="7" t="str">
        <f t="shared" si="6"/>
        <v>Stem Bolts: N/A -----</v>
      </c>
      <c r="G67" s="7">
        <f t="shared" ref="G67:H67" si="63">G52</f>
        <v>35</v>
      </c>
      <c r="H67" s="7">
        <f t="shared" si="63"/>
        <v>30</v>
      </c>
      <c r="I67" s="7" t="str">
        <f t="shared" si="11"/>
        <v xml:space="preserve">Aerobar Bolts: Top 35mm; Bottom 30mm </v>
      </c>
    </row>
    <row r="68" spans="2:9" x14ac:dyDescent="0.25">
      <c r="B68" s="7" t="str">
        <f>TEXT($B$56,0) &amp; "+ 40 + bridge + 5"</f>
        <v>Stem: 31.8 ----- Carbon Aerobar: + 40 + bridge + 5</v>
      </c>
      <c r="C68" s="7">
        <f t="shared" si="54"/>
        <v>90</v>
      </c>
      <c r="D68" s="7">
        <f>$D$57+45</f>
        <v>111</v>
      </c>
      <c r="E68" s="7" t="s">
        <v>102</v>
      </c>
      <c r="F68" s="7" t="str">
        <f t="shared" si="6"/>
        <v>Stem Bolts: N/A -----</v>
      </c>
      <c r="G68" s="7">
        <f t="shared" ref="G68:H68" si="64">G53</f>
        <v>35</v>
      </c>
      <c r="H68" s="7">
        <f t="shared" si="64"/>
        <v>30</v>
      </c>
      <c r="I68" s="7" t="str">
        <f t="shared" si="11"/>
        <v xml:space="preserve">Aerobar Bolts: Top 35mm; Bottom 30mm </v>
      </c>
    </row>
    <row r="69" spans="2:9" x14ac:dyDescent="0.25">
      <c r="B69" s="7" t="str">
        <f>TEXT($B$56,0) &amp; "+ 40 + bridge + 10"</f>
        <v>Stem: 31.8 ----- Carbon Aerobar: + 40 + bridge + 10</v>
      </c>
      <c r="C69" s="7">
        <f t="shared" si="54"/>
        <v>90</v>
      </c>
      <c r="D69" s="7">
        <f>$D$57+50</f>
        <v>116</v>
      </c>
      <c r="E69" s="7" t="s">
        <v>102</v>
      </c>
      <c r="F69" s="7" t="str">
        <f t="shared" si="6"/>
        <v>Stem Bolts: N/A -----</v>
      </c>
      <c r="G69" s="7">
        <f t="shared" ref="G69:H69" si="65">G54</f>
        <v>40</v>
      </c>
      <c r="H69" s="7">
        <f t="shared" si="65"/>
        <v>30</v>
      </c>
      <c r="I69" s="7" t="str">
        <f t="shared" si="11"/>
        <v xml:space="preserve">Aerobar Bolts: Top 40mm; Bottom 30mm </v>
      </c>
    </row>
    <row r="70" spans="2:9" x14ac:dyDescent="0.25">
      <c r="B70" s="7" t="str">
        <f>TEXT($B$56,0) &amp; "+ 40 + bridge + 10 + 5"</f>
        <v>Stem: 31.8 ----- Carbon Aerobar: + 40 + bridge + 10 + 5</v>
      </c>
      <c r="C70" s="7">
        <f t="shared" si="54"/>
        <v>90</v>
      </c>
      <c r="D70" s="7">
        <f>$D$57+55</f>
        <v>121</v>
      </c>
      <c r="E70" s="7" t="s">
        <v>102</v>
      </c>
      <c r="F70" s="7" t="str">
        <f t="shared" si="6"/>
        <v>Stem Bolts: N/A -----</v>
      </c>
      <c r="G70" s="7">
        <f t="shared" ref="G70:H70" si="66">G55</f>
        <v>45</v>
      </c>
      <c r="H70" s="7">
        <f t="shared" si="66"/>
        <v>30</v>
      </c>
      <c r="I70" s="7" t="str">
        <f t="shared" si="11"/>
        <v xml:space="preserve">Aerobar Bolts: Top 45mm; Bottom 30mm </v>
      </c>
    </row>
    <row r="71" spans="2:9" x14ac:dyDescent="0.25">
      <c r="B71" s="7" t="s">
        <v>94</v>
      </c>
      <c r="C71" s="7">
        <v>88</v>
      </c>
      <c r="D71" s="7">
        <v>76</v>
      </c>
      <c r="E71" s="7" t="s">
        <v>102</v>
      </c>
      <c r="F71" s="7" t="str">
        <f t="shared" si="6"/>
        <v>Stem Bolts: N/A -----</v>
      </c>
      <c r="G71" s="7">
        <v>20</v>
      </c>
      <c r="H71" s="7" t="str">
        <f>H56</f>
        <v>N/A</v>
      </c>
      <c r="I71" s="7" t="str">
        <f t="shared" si="11"/>
        <v xml:space="preserve">Aerobar Bolts: Top 20mm; Bottom N/A </v>
      </c>
    </row>
    <row r="72" spans="2:9" x14ac:dyDescent="0.25">
      <c r="B72" s="7" t="str">
        <f>TEXT($B$71,0) &amp; "+ 5"</f>
        <v>Stem: 31.8 ----- Alloy Aerobar: + 5</v>
      </c>
      <c r="C72" s="7">
        <v>88</v>
      </c>
      <c r="D72" s="7">
        <f>D71+5</f>
        <v>81</v>
      </c>
      <c r="E72" s="7" t="s">
        <v>102</v>
      </c>
      <c r="F72" s="7" t="str">
        <f t="shared" si="6"/>
        <v>Stem Bolts: N/A -----</v>
      </c>
      <c r="G72" s="7">
        <v>25</v>
      </c>
      <c r="H72" s="7" t="s">
        <v>102</v>
      </c>
      <c r="I72" s="7" t="str">
        <f t="shared" si="11"/>
        <v xml:space="preserve">Aerobar Bolts: Top 25mm; Bottom N/A </v>
      </c>
    </row>
    <row r="73" spans="2:9" x14ac:dyDescent="0.25">
      <c r="B73" s="7" t="str">
        <f>TEXT($B$71,0) &amp; "+ 10"</f>
        <v>Stem: 31.8 ----- Alloy Aerobar: + 10</v>
      </c>
      <c r="C73" s="7">
        <v>88</v>
      </c>
      <c r="D73" s="7">
        <f>D71+10</f>
        <v>86</v>
      </c>
      <c r="E73" s="7" t="s">
        <v>102</v>
      </c>
      <c r="F73" s="7" t="str">
        <f t="shared" si="6"/>
        <v>Stem Bolts: N/A -----</v>
      </c>
      <c r="G73" s="7">
        <v>30</v>
      </c>
      <c r="H73" s="7" t="s">
        <v>102</v>
      </c>
      <c r="I73" s="7" t="str">
        <f t="shared" si="11"/>
        <v xml:space="preserve">Aerobar Bolts: Top 30mm; Bottom N/A </v>
      </c>
    </row>
    <row r="74" spans="2:9" x14ac:dyDescent="0.25">
      <c r="B74" s="7" t="str">
        <f>TEXT($B$71,0) &amp; "+ 5 + 10"</f>
        <v>Stem: 31.8 ----- Alloy Aerobar: + 5 + 10</v>
      </c>
      <c r="C74" s="7">
        <v>88</v>
      </c>
      <c r="D74" s="7">
        <f>D71+15</f>
        <v>91</v>
      </c>
      <c r="E74" s="7" t="s">
        <v>102</v>
      </c>
      <c r="F74" s="7" t="str">
        <f t="shared" si="6"/>
        <v>Stem Bolts: N/A -----</v>
      </c>
      <c r="G74" s="7">
        <v>35</v>
      </c>
      <c r="H74" s="7" t="s">
        <v>102</v>
      </c>
      <c r="I74" s="7" t="str">
        <f t="shared" si="11"/>
        <v xml:space="preserve">Aerobar Bolts: Top 35mm; Bottom N/A </v>
      </c>
    </row>
    <row r="75" spans="2:9" x14ac:dyDescent="0.25">
      <c r="B75" s="7" t="str">
        <f>TEXT($B$71,0) &amp; "+ 20"</f>
        <v>Stem: 31.8 ----- Alloy Aerobar: + 20</v>
      </c>
      <c r="C75" s="7">
        <v>88</v>
      </c>
      <c r="D75" s="7">
        <f>D71+20</f>
        <v>96</v>
      </c>
      <c r="E75" s="7" t="s">
        <v>102</v>
      </c>
      <c r="F75" s="7" t="str">
        <f t="shared" si="6"/>
        <v>Stem Bolts: N/A -----</v>
      </c>
      <c r="G75" s="7">
        <v>20</v>
      </c>
      <c r="H75" s="7">
        <v>15</v>
      </c>
      <c r="I75" s="7" t="str">
        <f t="shared" si="11"/>
        <v xml:space="preserve">Aerobar Bolts: Top 20mm; Bottom 15mm </v>
      </c>
    </row>
    <row r="76" spans="2:9" x14ac:dyDescent="0.25">
      <c r="B76" s="7" t="str">
        <f>TEXT($B$71,0) &amp; "+ 20 + 5 "</f>
        <v xml:space="preserve">Stem: 31.8 ----- Alloy Aerobar: + 20 + 5 </v>
      </c>
      <c r="C76" s="7">
        <v>88</v>
      </c>
      <c r="D76" s="7">
        <f>D71+25</f>
        <v>101</v>
      </c>
      <c r="E76" s="7" t="s">
        <v>102</v>
      </c>
      <c r="F76" s="7" t="str">
        <f t="shared" ref="F76:F85" si="67">IF(E76="N/A","Stem Bolts: N/A -----",TEXT($E$10,0)&amp;" "&amp;TEXT(E76,0)&amp;"mm -----")</f>
        <v>Stem Bolts: N/A -----</v>
      </c>
      <c r="G76" s="7">
        <v>25</v>
      </c>
      <c r="H76" s="7">
        <v>15</v>
      </c>
      <c r="I76" s="7" t="str">
        <f t="shared" si="11"/>
        <v xml:space="preserve">Aerobar Bolts: Top 25mm; Bottom 15mm </v>
      </c>
    </row>
    <row r="77" spans="2:9" x14ac:dyDescent="0.25">
      <c r="B77" s="7" t="str">
        <f>TEXT($B$71,0) &amp; "+ 20 + bridge"</f>
        <v>Stem: 31.8 ----- Alloy Aerobar: + 20 + bridge</v>
      </c>
      <c r="C77" s="7">
        <v>88</v>
      </c>
      <c r="D77" s="7">
        <f>D71+25</f>
        <v>101</v>
      </c>
      <c r="E77" s="7" t="s">
        <v>102</v>
      </c>
      <c r="F77" s="7" t="str">
        <f t="shared" si="67"/>
        <v>Stem Bolts: N/A -----</v>
      </c>
      <c r="G77" s="7">
        <v>25</v>
      </c>
      <c r="H77" s="7">
        <v>15</v>
      </c>
      <c r="I77" s="7" t="str">
        <f t="shared" si="11"/>
        <v xml:space="preserve">Aerobar Bolts: Top 25mm; Bottom 15mm </v>
      </c>
    </row>
    <row r="78" spans="2:9" x14ac:dyDescent="0.25">
      <c r="B78" s="7" t="str">
        <f>TEXT($B$71,0) &amp; "+ 20 + bridge + 5"</f>
        <v>Stem: 31.8 ----- Alloy Aerobar: + 20 + bridge + 5</v>
      </c>
      <c r="C78" s="7">
        <v>88</v>
      </c>
      <c r="D78" s="7">
        <f>D71+30</f>
        <v>106</v>
      </c>
      <c r="E78" s="7" t="s">
        <v>102</v>
      </c>
      <c r="F78" s="7" t="str">
        <f t="shared" si="67"/>
        <v>Stem Bolts: N/A -----</v>
      </c>
      <c r="G78" s="7">
        <v>25</v>
      </c>
      <c r="H78" s="7">
        <v>15</v>
      </c>
      <c r="I78" s="7" t="str">
        <f t="shared" si="11"/>
        <v xml:space="preserve">Aerobar Bolts: Top 25mm; Bottom 15mm </v>
      </c>
    </row>
    <row r="79" spans="2:9" x14ac:dyDescent="0.25">
      <c r="B79" s="7" t="str">
        <f>TEXT($B$71,0) &amp; "+ 30"</f>
        <v>Stem: 31.8 ----- Alloy Aerobar: + 30</v>
      </c>
      <c r="C79" s="7">
        <v>88</v>
      </c>
      <c r="D79" s="7">
        <f>D71+30</f>
        <v>106</v>
      </c>
      <c r="E79" s="7" t="s">
        <v>102</v>
      </c>
      <c r="F79" s="7" t="str">
        <f t="shared" si="67"/>
        <v>Stem Bolts: N/A -----</v>
      </c>
      <c r="G79" s="7">
        <v>25</v>
      </c>
      <c r="H79" s="7">
        <v>15</v>
      </c>
      <c r="I79" s="7" t="str">
        <f t="shared" si="11"/>
        <v xml:space="preserve">Aerobar Bolts: Top 25mm; Bottom 15mm </v>
      </c>
    </row>
    <row r="80" spans="2:9" x14ac:dyDescent="0.25">
      <c r="B80" s="7" t="str">
        <f>TEXT($B$71,0) &amp; "+ 30 + bridge"</f>
        <v>Stem: 31.8 ----- Alloy Aerobar: + 30 + bridge</v>
      </c>
      <c r="C80" s="7">
        <v>88</v>
      </c>
      <c r="D80" s="7">
        <f>D71+35</f>
        <v>111</v>
      </c>
      <c r="E80" s="7" t="s">
        <v>102</v>
      </c>
      <c r="F80" s="7" t="str">
        <f t="shared" si="67"/>
        <v>Stem Bolts: N/A -----</v>
      </c>
      <c r="G80" s="7">
        <v>30</v>
      </c>
      <c r="H80" s="7">
        <v>15</v>
      </c>
      <c r="I80" s="7" t="str">
        <f t="shared" si="11"/>
        <v xml:space="preserve">Aerobar Bolts: Top 30mm; Bottom 15mm </v>
      </c>
    </row>
    <row r="81" spans="2:9" x14ac:dyDescent="0.25">
      <c r="B81" s="7" t="str">
        <f>TEXT($B$71,0) &amp; "+ 30 + bridge + 5"</f>
        <v>Stem: 31.8 ----- Alloy Aerobar: + 30 + bridge + 5</v>
      </c>
      <c r="C81" s="7">
        <v>88</v>
      </c>
      <c r="D81" s="7">
        <f>D71+40</f>
        <v>116</v>
      </c>
      <c r="E81" s="7" t="s">
        <v>102</v>
      </c>
      <c r="F81" s="7" t="str">
        <f t="shared" si="67"/>
        <v>Stem Bolts: N/A -----</v>
      </c>
      <c r="G81" s="7">
        <v>30</v>
      </c>
      <c r="H81" s="7">
        <v>15</v>
      </c>
      <c r="I81" s="7" t="str">
        <f t="shared" si="11"/>
        <v xml:space="preserve">Aerobar Bolts: Top 30mm; Bottom 15mm </v>
      </c>
    </row>
    <row r="82" spans="2:9" x14ac:dyDescent="0.25">
      <c r="B82" s="7" t="str">
        <f>TEXT($B$71,0) &amp; "+ 40 + bridge"</f>
        <v>Stem: 31.8 ----- Alloy Aerobar: + 40 + bridge</v>
      </c>
      <c r="C82" s="7">
        <v>88</v>
      </c>
      <c r="D82" s="7">
        <f>D71+45</f>
        <v>121</v>
      </c>
      <c r="E82" s="7" t="s">
        <v>102</v>
      </c>
      <c r="F82" s="7" t="str">
        <f t="shared" si="67"/>
        <v>Stem Bolts: N/A -----</v>
      </c>
      <c r="G82" s="7">
        <v>35</v>
      </c>
      <c r="H82" s="7">
        <v>15</v>
      </c>
      <c r="I82" s="7" t="str">
        <f t="shared" ref="I82:I85" si="68">IF(AND(G82="N/A",H82="N/A"),TEXT($G$9,0)&amp;" "&amp;TEXT($G$10,0)&amp;" "&amp;G82&amp;"; "&amp;TEXT($H$10,0)&amp;" "&amp;H82&amp;" ",IF(H82="N/A",TEXT($G$9,0)&amp;" "&amp;TEXT($G$10,0)&amp;" "&amp;G82&amp;"mm; "&amp;TEXT($H$10,0)&amp;" "&amp;H82&amp;" ",TEXT($G$9,0)&amp;" "&amp;TEXT($G$10,0)&amp;" "&amp;G82&amp;"mm; "&amp;TEXT($H$10,0)&amp;" "&amp;H82&amp;"mm "))</f>
        <v xml:space="preserve">Aerobar Bolts: Top 35mm; Bottom 15mm </v>
      </c>
    </row>
    <row r="83" spans="2:9" x14ac:dyDescent="0.25">
      <c r="B83" s="7" t="str">
        <f>TEXT($B$71,0) &amp; "+ 40 + bridge + 5"</f>
        <v>Stem: 31.8 ----- Alloy Aerobar: + 40 + bridge + 5</v>
      </c>
      <c r="C83" s="7">
        <v>88</v>
      </c>
      <c r="D83" s="7">
        <f>D71+50</f>
        <v>126</v>
      </c>
      <c r="E83" s="7" t="s">
        <v>102</v>
      </c>
      <c r="F83" s="7" t="str">
        <f t="shared" si="67"/>
        <v>Stem Bolts: N/A -----</v>
      </c>
      <c r="G83" s="7">
        <v>35</v>
      </c>
      <c r="H83" s="7">
        <v>15</v>
      </c>
      <c r="I83" s="7" t="str">
        <f t="shared" si="68"/>
        <v xml:space="preserve">Aerobar Bolts: Top 35mm; Bottom 15mm </v>
      </c>
    </row>
    <row r="84" spans="2:9" x14ac:dyDescent="0.25">
      <c r="B84" s="7" t="str">
        <f>TEXT($B$71,0) &amp; "+ 40 + bridge + 10"</f>
        <v>Stem: 31.8 ----- Alloy Aerobar: + 40 + bridge + 10</v>
      </c>
      <c r="C84" s="7">
        <v>88</v>
      </c>
      <c r="D84" s="7">
        <f>D71+55</f>
        <v>131</v>
      </c>
      <c r="E84" s="7" t="s">
        <v>102</v>
      </c>
      <c r="F84" s="7" t="str">
        <f t="shared" si="67"/>
        <v>Stem Bolts: N/A -----</v>
      </c>
      <c r="G84" s="7">
        <v>35</v>
      </c>
      <c r="H84" s="7">
        <v>15</v>
      </c>
      <c r="I84" s="7" t="str">
        <f t="shared" si="68"/>
        <v xml:space="preserve">Aerobar Bolts: Top 35mm; Bottom 15mm </v>
      </c>
    </row>
    <row r="85" spans="2:9" x14ac:dyDescent="0.25">
      <c r="B85" s="7" t="str">
        <f>TEXT($B$71,0) &amp; "+ 40 + bridge + 5 + 10"</f>
        <v>Stem: 31.8 ----- Alloy Aerobar: + 40 + bridge + 5 + 10</v>
      </c>
      <c r="C85" s="7">
        <v>88</v>
      </c>
      <c r="D85" s="7">
        <f>D71+60</f>
        <v>136</v>
      </c>
      <c r="E85" s="7" t="s">
        <v>102</v>
      </c>
      <c r="F85" s="7" t="str">
        <f t="shared" si="67"/>
        <v>Stem Bolts: N/A -----</v>
      </c>
      <c r="G85" s="7">
        <v>35</v>
      </c>
      <c r="H85" s="7">
        <v>25</v>
      </c>
      <c r="I85" s="7" t="str">
        <f t="shared" si="68"/>
        <v xml:space="preserve">Aerobar Bolts: Top 35mm; Bottom 25mm 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</dc:creator>
  <cp:lastModifiedBy>Anton Petrov</cp:lastModifiedBy>
  <dcterms:created xsi:type="dcterms:W3CDTF">2014-01-19T00:27:30Z</dcterms:created>
  <dcterms:modified xsi:type="dcterms:W3CDTF">2019-01-02T16:55:29Z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tart Date">
    <vt:lpwstr>01/27/14</vt:lpwstr>
  </property>
  <property fmtid="{D5CDD505-2E9C-101B-9397-08002B2CF9AE}" pid="3" name="DrawnBy">
    <vt:lpwstr>apetrov</vt:lpwstr>
  </property>
  <property fmtid="{D5CDD505-2E9C-101B-9397-08002B2CF9AE}" pid="4" name="Project Number">
    <vt:lpwstr>TRI-13-0043</vt:lpwstr>
  </property>
  <property fmtid="{D5CDD505-2E9C-101B-9397-08002B2CF9AE}" pid="5" name="Revision">
    <vt:lpwstr>.1</vt:lpwstr>
  </property>
</Properties>
</file>